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olatility" sheetId="1" r:id="rId1"/>
    <sheet name="Result range" sheetId="2" r:id="rId2"/>
    <sheet name="Contribution" sheetId="3" r:id="rId3"/>
    <sheet name="Player Analysis" sheetId="4" r:id="rId4"/>
    <sheet name="Data Standards" sheetId="5" r:id="rId5"/>
  </sheets>
  <definedNames/>
  <calcPr fullCalcOnLoad="1"/>
</workbook>
</file>

<file path=xl/sharedStrings.xml><?xml version="1.0" encoding="utf-8"?>
<sst xmlns="http://schemas.openxmlformats.org/spreadsheetml/2006/main" count="170" uniqueCount="130">
  <si>
    <t>Bet distribution per decision ( not per player )</t>
  </si>
  <si>
    <t>Wager</t>
  </si>
  <si>
    <t>Percentage of wagers</t>
  </si>
  <si>
    <t>Weighted</t>
  </si>
  <si>
    <t>s.m.o.s.m.of w.</t>
  </si>
  <si>
    <t>Volatility Analyser</t>
  </si>
  <si>
    <t>by Andrew MacDonald 1998</t>
  </si>
  <si>
    <t>Provides a calculation as to the probability of an actual result occuring based on game, turnover and bet distribution information.</t>
  </si>
  <si>
    <t>Turnover (handle)</t>
  </si>
  <si>
    <t>B</t>
  </si>
  <si>
    <t>Codes</t>
  </si>
  <si>
    <t>Game</t>
  </si>
  <si>
    <t>R</t>
  </si>
  <si>
    <t>American Roulette</t>
  </si>
  <si>
    <t>J</t>
  </si>
  <si>
    <t>Blackjack</t>
  </si>
  <si>
    <t>Baccarat</t>
  </si>
  <si>
    <t>Game under review (see code)</t>
  </si>
  <si>
    <t>Actual Win (casino)</t>
  </si>
  <si>
    <t>Probability of actual result</t>
  </si>
  <si>
    <t>Sequence Number</t>
  </si>
  <si>
    <t>Account Number</t>
  </si>
  <si>
    <t>Visit dates</t>
  </si>
  <si>
    <t>from</t>
  </si>
  <si>
    <t>to</t>
  </si>
  <si>
    <t>Actual</t>
  </si>
  <si>
    <t>% Turnover</t>
  </si>
  <si>
    <t>Theoretical</t>
  </si>
  <si>
    <t>Variance</t>
  </si>
  <si>
    <t>Front Money</t>
  </si>
  <si>
    <t>Drop</t>
  </si>
  <si>
    <t>Turns of front money</t>
  </si>
  <si>
    <t>Turns of drop</t>
  </si>
  <si>
    <t>Win ( Casino )</t>
  </si>
  <si>
    <t>Win net of tax</t>
  </si>
  <si>
    <t>Incentive payment</t>
  </si>
  <si>
    <t>Accomodation exp.</t>
  </si>
  <si>
    <t>Payroll (est.)</t>
  </si>
  <si>
    <t>Total costs</t>
  </si>
  <si>
    <t>Net contribution</t>
  </si>
  <si>
    <t>Net/Gross %</t>
  </si>
  <si>
    <t>Probability of this result or worse being achieved based on play</t>
  </si>
  <si>
    <t>Assumptions ( based on infinite bankroll, ie no exit)</t>
  </si>
  <si>
    <t>Actual Turnover</t>
  </si>
  <si>
    <t>Average bet</t>
  </si>
  <si>
    <t>Number of hands</t>
  </si>
  <si>
    <t>game and bet distribution</t>
  </si>
  <si>
    <t>Expected win</t>
  </si>
  <si>
    <t>Intervals</t>
  </si>
  <si>
    <t>Win/Loss pre tax and exp.</t>
  </si>
  <si>
    <t>Chance in</t>
  </si>
  <si>
    <t>"+1.645SD"</t>
  </si>
  <si>
    <t>1 in 20</t>
  </si>
  <si>
    <t>or 90 % confidence limit</t>
  </si>
  <si>
    <t>"-1.645SD"</t>
  </si>
  <si>
    <t>"+1.96SD"</t>
  </si>
  <si>
    <t>1 in 40</t>
  </si>
  <si>
    <t>or 95 % confidence limit</t>
  </si>
  <si>
    <t>"-1.96SD"</t>
  </si>
  <si>
    <t>"+2.33SD"</t>
  </si>
  <si>
    <t>1 in 100</t>
  </si>
  <si>
    <t>or 98 % confidence limit</t>
  </si>
  <si>
    <t>"-2.33SD"</t>
  </si>
  <si>
    <t>Probability of the actual result or worse being achieved</t>
  </si>
  <si>
    <t xml:space="preserve">1 in </t>
  </si>
  <si>
    <t>%</t>
  </si>
  <si>
    <t>Variance of bet distribution</t>
  </si>
  <si>
    <t>Z score</t>
  </si>
  <si>
    <t>Probability</t>
  </si>
  <si>
    <t>Data Standards</t>
  </si>
  <si>
    <t>Edge</t>
  </si>
  <si>
    <t>Bet</t>
  </si>
  <si>
    <t>Straight Up</t>
  </si>
  <si>
    <t>Split</t>
  </si>
  <si>
    <t>Corner</t>
  </si>
  <si>
    <t>Street</t>
  </si>
  <si>
    <t>Sixline</t>
  </si>
  <si>
    <t>Dozen</t>
  </si>
  <si>
    <t>Column</t>
  </si>
  <si>
    <t>Even Chance</t>
  </si>
  <si>
    <t>Roulette</t>
  </si>
  <si>
    <t>or worse</t>
  </si>
  <si>
    <t>or better</t>
  </si>
  <si>
    <t>1 in</t>
  </si>
  <si>
    <t>Confidence Interval Analysis</t>
  </si>
  <si>
    <t>Confidence Interval</t>
  </si>
  <si>
    <t>Upper</t>
  </si>
  <si>
    <t>Lower</t>
  </si>
  <si>
    <t>1 Chance in</t>
  </si>
  <si>
    <t>falling above or below nominated value</t>
  </si>
  <si>
    <t xml:space="preserve"> +z</t>
  </si>
  <si>
    <t xml:space="preserve"> -z</t>
  </si>
  <si>
    <t>Results will fall between the upper and lower ranges at the relevant confidence interval. Figures are pre tax and expenses.</t>
  </si>
  <si>
    <t>Contribution Analysis</t>
  </si>
  <si>
    <t>Confidence interval</t>
  </si>
  <si>
    <t>Tax</t>
  </si>
  <si>
    <t>Commission</t>
  </si>
  <si>
    <t>Commission %</t>
  </si>
  <si>
    <t>Win</t>
  </si>
  <si>
    <t>Tax %</t>
  </si>
  <si>
    <t>Net Tax</t>
  </si>
  <si>
    <t>on turnover</t>
  </si>
  <si>
    <t>Contribution</t>
  </si>
  <si>
    <t>Entry fields in blue. Sheet extends to row 24.</t>
  </si>
  <si>
    <t>Additional information for single zero Roulette</t>
  </si>
  <si>
    <t xml:space="preserve">Variable costs </t>
  </si>
  <si>
    <t>Costs</t>
  </si>
  <si>
    <t>Fixed costs</t>
  </si>
  <si>
    <t>Rebate</t>
  </si>
  <si>
    <t>Rebate %</t>
  </si>
  <si>
    <t>on loss</t>
  </si>
  <si>
    <t>Entry fields in blue.</t>
  </si>
  <si>
    <t>"Result range" displays various confidence interval data and range of results.</t>
  </si>
  <si>
    <t>Expenses/T.O.</t>
  </si>
  <si>
    <t>Margin %</t>
  </si>
  <si>
    <t>Player Analysis</t>
  </si>
  <si>
    <t>Name :</t>
  </si>
  <si>
    <t>Game Played</t>
  </si>
  <si>
    <t>Turnover/Handle</t>
  </si>
  <si>
    <t>Rebate on loss %</t>
  </si>
  <si>
    <t>Commission (ROL)</t>
  </si>
  <si>
    <t>Airfares</t>
  </si>
  <si>
    <t>Transfers</t>
  </si>
  <si>
    <t>Other</t>
  </si>
  <si>
    <t>Actual bet distribution</t>
  </si>
  <si>
    <t>Commission on T.O.</t>
  </si>
  <si>
    <t>Theoretical rebate cost only applies if an individual visit is analysed.</t>
  </si>
  <si>
    <t>1 in 5</t>
  </si>
  <si>
    <t>1 in 10</t>
  </si>
  <si>
    <t>This spreadsheet enables a thorough post analysis of the play. Entry fields in blue. Sheet extends to I64.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</si>
</sst>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_-&quot;$&quot;* #,##0_-;\-&quot;$&quot;* #,##0_-;_-&quot;$&quot;* &quot;-&quot;??_-;_-@_-"/>
    <numFmt numFmtId="174" formatCode="0.0000"/>
    <numFmt numFmtId="175" formatCode="_-* #,##0_-;\-* #,##0_-;_-* &quot;-&quot;??_-;_-@_-"/>
    <numFmt numFmtId="176" formatCode="_-&quot;$&quot;* #,##0.0_-;\-&quot;$&quot;* #,##0.0_-;_-&quot;$&quot;* &quot;-&quot;??_-;_-@_-"/>
    <numFmt numFmtId="177" formatCode="_(&quot;$&quot;* #,##0_);_(&quot;$&quot;* \(#,##0\);_(&quot;$&quot;* &quot;-&quot;??_);_(@_)"/>
    <numFmt numFmtId="178" formatCode="0.0"/>
    <numFmt numFmtId="179" formatCode="0.0%"/>
    <numFmt numFmtId="180" formatCode="0.000"/>
    <numFmt numFmtId="181" formatCode="_-* #,##0.0_-;\-* #,##0.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.000000_-;\-* #,##0.000000_-;_-* &quot;-&quot;??_-;_-@_-"/>
    <numFmt numFmtId="186" formatCode="_-* #,##0.000000_-;\-* #,##0.000000_-;_-* &quot;-&quot;??????_-;_-@_-"/>
    <numFmt numFmtId="187" formatCode="0.0000000"/>
    <numFmt numFmtId="188" formatCode="0.000000"/>
    <numFmt numFmtId="189" formatCode="0.00000"/>
    <numFmt numFmtId="190" formatCode="&quot;$&quot;#,##0.0;[Red]\-&quot;$&quot;#,##0.0"/>
    <numFmt numFmtId="191" formatCode="0.000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2" borderId="0" xfId="19" applyNumberFormat="1" applyFont="1" applyFill="1" applyAlignment="1" applyProtection="1">
      <alignment/>
      <protection locked="0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3" fontId="0" fillId="0" borderId="0" xfId="17" applyNumberFormat="1" applyAlignment="1">
      <alignment horizontal="right"/>
    </xf>
    <xf numFmtId="10" fontId="1" fillId="2" borderId="0" xfId="0" applyNumberFormat="1" applyFont="1" applyFill="1" applyAlignment="1" applyProtection="1">
      <alignment horizontal="right"/>
      <protection locked="0"/>
    </xf>
    <xf numFmtId="173" fontId="0" fillId="0" borderId="0" xfId="17" applyNumberForma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19" applyNumberFormat="1" applyAlignment="1">
      <alignment/>
    </xf>
    <xf numFmtId="10" fontId="0" fillId="0" borderId="0" xfId="19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72" fontId="1" fillId="0" borderId="0" xfId="19" applyNumberFormat="1" applyFon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177" fontId="0" fillId="2" borderId="0" xfId="17" applyNumberFormat="1" applyFill="1" applyAlignment="1" applyProtection="1">
      <alignment/>
      <protection locked="0"/>
    </xf>
    <xf numFmtId="177" fontId="0" fillId="0" borderId="0" xfId="17" applyNumberFormat="1" applyAlignment="1">
      <alignment/>
    </xf>
    <xf numFmtId="177" fontId="0" fillId="0" borderId="0" xfId="0" applyNumberFormat="1" applyAlignment="1">
      <alignment/>
    </xf>
    <xf numFmtId="9" fontId="0" fillId="2" borderId="0" xfId="0" applyNumberFormat="1" applyFill="1" applyAlignment="1" applyProtection="1">
      <alignment/>
      <protection locked="0"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85" fontId="0" fillId="0" borderId="0" xfId="15" applyNumberFormat="1" applyFill="1" applyAlignment="1" applyProtection="1">
      <alignment/>
      <protection locked="0"/>
    </xf>
    <xf numFmtId="179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19" applyNumberFormat="1" applyAlignment="1">
      <alignment horizontal="center"/>
    </xf>
    <xf numFmtId="180" fontId="0" fillId="0" borderId="0" xfId="0" applyNumberFormat="1" applyAlignment="1">
      <alignment horizontal="center"/>
    </xf>
    <xf numFmtId="10" fontId="1" fillId="0" borderId="0" xfId="19" applyNumberFormat="1" applyFont="1" applyFill="1" applyAlignment="1" applyProtection="1">
      <alignment horizontal="right"/>
      <protection locked="0"/>
    </xf>
    <xf numFmtId="10" fontId="1" fillId="0" borderId="0" xfId="19" applyNumberFormat="1" applyFont="1" applyAlignment="1">
      <alignment/>
    </xf>
    <xf numFmtId="189" fontId="0" fillId="0" borderId="0" xfId="0" applyNumberFormat="1" applyAlignment="1">
      <alignment/>
    </xf>
    <xf numFmtId="172" fontId="0" fillId="3" borderId="1" xfId="19" applyNumberFormat="1" applyFill="1" applyBorder="1" applyAlignment="1">
      <alignment/>
    </xf>
    <xf numFmtId="172" fontId="0" fillId="3" borderId="2" xfId="0" applyNumberFormat="1" applyFill="1" applyBorder="1" applyAlignment="1">
      <alignment/>
    </xf>
    <xf numFmtId="185" fontId="0" fillId="3" borderId="3" xfId="15" applyNumberFormat="1" applyFont="1" applyFill="1" applyBorder="1" applyAlignment="1">
      <alignment horizontal="right"/>
    </xf>
    <xf numFmtId="185" fontId="0" fillId="3" borderId="4" xfId="15" applyNumberFormat="1" applyFont="1" applyFill="1" applyBorder="1" applyAlignment="1">
      <alignment horizontal="right"/>
    </xf>
    <xf numFmtId="180" fontId="0" fillId="2" borderId="0" xfId="0" applyNumberFormat="1" applyFill="1" applyAlignment="1" applyProtection="1">
      <alignment horizontal="center"/>
      <protection locked="0"/>
    </xf>
    <xf numFmtId="179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0" fontId="2" fillId="0" borderId="0" xfId="0" applyFont="1" applyAlignment="1">
      <alignment/>
    </xf>
    <xf numFmtId="172" fontId="0" fillId="0" borderId="0" xfId="19" applyNumberFormat="1" applyFont="1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170" fontId="0" fillId="2" borderId="0" xfId="17" applyFill="1" applyAlignment="1" applyProtection="1">
      <alignment/>
      <protection locked="0"/>
    </xf>
    <xf numFmtId="165" fontId="0" fillId="0" borderId="0" xfId="0" applyNumberFormat="1" applyAlignment="1">
      <alignment/>
    </xf>
    <xf numFmtId="9" fontId="1" fillId="0" borderId="0" xfId="19" applyFont="1" applyAlignment="1">
      <alignment horizontal="center"/>
    </xf>
    <xf numFmtId="173" fontId="0" fillId="2" borderId="0" xfId="17" applyNumberFormat="1" applyFill="1" applyAlignment="1" applyProtection="1">
      <alignment/>
      <protection locked="0"/>
    </xf>
    <xf numFmtId="173" fontId="0" fillId="3" borderId="3" xfId="17" applyNumberFormat="1" applyFill="1" applyBorder="1" applyAlignment="1">
      <alignment/>
    </xf>
    <xf numFmtId="173" fontId="0" fillId="3" borderId="7" xfId="17" applyNumberFormat="1" applyFill="1" applyBorder="1" applyAlignment="1">
      <alignment/>
    </xf>
    <xf numFmtId="173" fontId="0" fillId="3" borderId="4" xfId="17" applyNumberFormat="1" applyFill="1" applyBorder="1" applyAlignment="1">
      <alignment/>
    </xf>
    <xf numFmtId="165" fontId="0" fillId="3" borderId="3" xfId="17" applyNumberFormat="1" applyFill="1" applyBorder="1" applyAlignment="1">
      <alignment/>
    </xf>
    <xf numFmtId="165" fontId="0" fillId="3" borderId="5" xfId="17" applyNumberFormat="1" applyFill="1" applyBorder="1" applyAlignment="1">
      <alignment/>
    </xf>
    <xf numFmtId="165" fontId="0" fillId="3" borderId="7" xfId="17" applyNumberFormat="1" applyFill="1" applyBorder="1" applyAlignment="1">
      <alignment/>
    </xf>
    <xf numFmtId="165" fontId="0" fillId="3" borderId="8" xfId="17" applyNumberFormat="1" applyFill="1" applyBorder="1" applyAlignment="1">
      <alignment/>
    </xf>
    <xf numFmtId="165" fontId="0" fillId="3" borderId="4" xfId="17" applyNumberFormat="1" applyFill="1" applyBorder="1" applyAlignment="1">
      <alignment/>
    </xf>
    <xf numFmtId="165" fontId="0" fillId="3" borderId="6" xfId="17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3" fontId="0" fillId="3" borderId="9" xfId="17" applyNumberFormat="1" applyFill="1" applyBorder="1" applyAlignment="1">
      <alignment/>
    </xf>
    <xf numFmtId="173" fontId="0" fillId="3" borderId="9" xfId="0" applyNumberFormat="1" applyFill="1" applyBorder="1" applyAlignment="1">
      <alignment/>
    </xf>
    <xf numFmtId="170" fontId="0" fillId="3" borderId="9" xfId="0" applyNumberFormat="1" applyFill="1" applyBorder="1" applyAlignment="1">
      <alignment/>
    </xf>
    <xf numFmtId="173" fontId="0" fillId="3" borderId="0" xfId="17" applyNumberFormat="1" applyFill="1" applyBorder="1" applyAlignment="1">
      <alignment/>
    </xf>
    <xf numFmtId="173" fontId="0" fillId="3" borderId="0" xfId="0" applyNumberFormat="1" applyFill="1" applyBorder="1" applyAlignment="1">
      <alignment/>
    </xf>
    <xf numFmtId="170" fontId="0" fillId="3" borderId="0" xfId="0" applyNumberFormat="1" applyFill="1" applyBorder="1" applyAlignment="1">
      <alignment/>
    </xf>
    <xf numFmtId="173" fontId="0" fillId="3" borderId="10" xfId="17" applyNumberFormat="1" applyFill="1" applyBorder="1" applyAlignment="1">
      <alignment/>
    </xf>
    <xf numFmtId="173" fontId="0" fillId="3" borderId="10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78" fontId="1" fillId="0" borderId="0" xfId="0" applyNumberFormat="1" applyFont="1" applyAlignment="1">
      <alignment horizontal="center"/>
    </xf>
    <xf numFmtId="183" fontId="0" fillId="0" borderId="0" xfId="0" applyNumberFormat="1" applyAlignment="1">
      <alignment/>
    </xf>
    <xf numFmtId="0" fontId="0" fillId="3" borderId="3" xfId="0" applyFill="1" applyBorder="1" applyAlignment="1">
      <alignment/>
    </xf>
    <xf numFmtId="172" fontId="0" fillId="3" borderId="5" xfId="19" applyNumberFormat="1" applyFill="1" applyBorder="1" applyAlignment="1">
      <alignment/>
    </xf>
    <xf numFmtId="0" fontId="0" fillId="3" borderId="4" xfId="0" applyFill="1" applyBorder="1" applyAlignment="1">
      <alignment/>
    </xf>
    <xf numFmtId="165" fontId="1" fillId="2" borderId="0" xfId="17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3" fontId="0" fillId="0" borderId="0" xfId="15" applyNumberFormat="1" applyAlignment="1">
      <alignment/>
    </xf>
    <xf numFmtId="10" fontId="0" fillId="3" borderId="6" xfId="19" applyNumberFormat="1" applyFill="1" applyBorder="1" applyAlignment="1">
      <alignment/>
    </xf>
    <xf numFmtId="180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 applyProtection="1">
      <alignment horizontal="right"/>
      <protection/>
    </xf>
    <xf numFmtId="177" fontId="0" fillId="0" borderId="0" xfId="17" applyNumberFormat="1" applyFill="1" applyAlignment="1" applyProtection="1">
      <alignment/>
      <protection/>
    </xf>
    <xf numFmtId="10" fontId="0" fillId="0" borderId="0" xfId="19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6.00390625" style="0" bestFit="1" customWidth="1"/>
    <col min="2" max="2" width="18.8515625" style="0" bestFit="1" customWidth="1"/>
    <col min="4" max="4" width="9.7109375" style="0" bestFit="1" customWidth="1"/>
  </cols>
  <sheetData>
    <row r="1" spans="3:6" ht="20.25">
      <c r="C1" s="36" t="s">
        <v>5</v>
      </c>
      <c r="F1" s="57" t="s">
        <v>6</v>
      </c>
    </row>
    <row r="2" ht="12.75">
      <c r="A2" t="s">
        <v>7</v>
      </c>
    </row>
    <row r="3" spans="1:3" ht="12.75">
      <c r="A3" t="s">
        <v>103</v>
      </c>
      <c r="C3" s="58" t="s">
        <v>112</v>
      </c>
    </row>
    <row r="4" spans="3:6" ht="12.75">
      <c r="C4" s="18"/>
      <c r="E4" s="22" t="s">
        <v>10</v>
      </c>
      <c r="F4" s="22" t="s">
        <v>11</v>
      </c>
    </row>
    <row r="5" spans="1:6" ht="12.75">
      <c r="A5" t="s">
        <v>17</v>
      </c>
      <c r="B5" s="24" t="s">
        <v>9</v>
      </c>
      <c r="C5" s="45" t="s">
        <v>65</v>
      </c>
      <c r="E5" s="23" t="s">
        <v>12</v>
      </c>
      <c r="F5" s="23" t="s">
        <v>13</v>
      </c>
    </row>
    <row r="6" spans="1:6" ht="12.75">
      <c r="A6" t="s">
        <v>8</v>
      </c>
      <c r="B6" s="92">
        <v>25000000</v>
      </c>
      <c r="E6" s="23" t="s">
        <v>14</v>
      </c>
      <c r="F6" s="23" t="s">
        <v>15</v>
      </c>
    </row>
    <row r="7" spans="1:6" ht="12.75">
      <c r="A7" t="s">
        <v>18</v>
      </c>
      <c r="B7" s="92">
        <v>-2500000</v>
      </c>
      <c r="C7" s="46">
        <f>+B7/B6</f>
        <v>-0.1</v>
      </c>
      <c r="E7" s="23" t="s">
        <v>9</v>
      </c>
      <c r="F7" s="23" t="s">
        <v>16</v>
      </c>
    </row>
    <row r="8" ht="12.75">
      <c r="C8" s="3"/>
    </row>
    <row r="9" ht="12.75">
      <c r="A9" t="s">
        <v>0</v>
      </c>
    </row>
    <row r="10" spans="1:6" ht="12.75">
      <c r="A10" s="4" t="s">
        <v>1</v>
      </c>
      <c r="B10" s="4" t="s">
        <v>2</v>
      </c>
      <c r="C10" s="4" t="s">
        <v>3</v>
      </c>
      <c r="D10" s="4"/>
      <c r="E10" s="4"/>
      <c r="F10" s="5" t="s">
        <v>4</v>
      </c>
    </row>
    <row r="11" spans="1:6" ht="12.75">
      <c r="A11" s="6">
        <v>300000</v>
      </c>
      <c r="B11" s="7">
        <v>0</v>
      </c>
      <c r="C11" s="8">
        <f>+B11*A11</f>
        <v>0</v>
      </c>
      <c r="E11" s="9">
        <f>+A11/$C$21</f>
        <v>20.54794520547945</v>
      </c>
      <c r="F11" s="9">
        <f>+E11^2*B11</f>
        <v>0</v>
      </c>
    </row>
    <row r="12" spans="1:6" ht="12.75">
      <c r="A12" s="8">
        <v>200000</v>
      </c>
      <c r="B12" s="2">
        <v>0.005</v>
      </c>
      <c r="C12" s="8">
        <f>+B12*A12</f>
        <v>1000</v>
      </c>
      <c r="E12" s="9">
        <f aca="true" t="shared" si="0" ref="E12:E19">+A12/$C$21</f>
        <v>13.698630136986301</v>
      </c>
      <c r="F12" s="9">
        <f>+E12^2*B12</f>
        <v>0.9382623381497466</v>
      </c>
    </row>
    <row r="13" spans="1:6" ht="12.75">
      <c r="A13" s="8">
        <v>150000</v>
      </c>
      <c r="B13" s="2">
        <v>0.005</v>
      </c>
      <c r="C13" s="8">
        <f aca="true" t="shared" si="1" ref="C13:C19">+B13*A13</f>
        <v>750</v>
      </c>
      <c r="E13" s="9">
        <f t="shared" si="0"/>
        <v>10.273972602739725</v>
      </c>
      <c r="F13" s="9">
        <f aca="true" t="shared" si="2" ref="F13:F19">+E13^2*B13</f>
        <v>0.5277725652092324</v>
      </c>
    </row>
    <row r="14" spans="1:6" ht="12.75">
      <c r="A14" s="8">
        <v>100000</v>
      </c>
      <c r="B14" s="2">
        <v>0.01</v>
      </c>
      <c r="C14" s="8">
        <f t="shared" si="1"/>
        <v>1000</v>
      </c>
      <c r="E14" s="9">
        <f t="shared" si="0"/>
        <v>6.8493150684931505</v>
      </c>
      <c r="F14" s="9">
        <f t="shared" si="2"/>
        <v>0.4691311690748733</v>
      </c>
    </row>
    <row r="15" spans="1:6" ht="12.75">
      <c r="A15" s="8">
        <v>75000</v>
      </c>
      <c r="B15" s="2">
        <v>0.04</v>
      </c>
      <c r="C15" s="8">
        <f t="shared" si="1"/>
        <v>3000</v>
      </c>
      <c r="E15" s="9">
        <f t="shared" si="0"/>
        <v>5.136986301369863</v>
      </c>
      <c r="F15" s="9">
        <f t="shared" si="2"/>
        <v>1.0555451304184649</v>
      </c>
    </row>
    <row r="16" spans="1:6" ht="12.75">
      <c r="A16" s="8">
        <v>50000</v>
      </c>
      <c r="B16" s="2">
        <v>0.04</v>
      </c>
      <c r="C16" s="8">
        <f t="shared" si="1"/>
        <v>2000</v>
      </c>
      <c r="E16" s="9">
        <f t="shared" si="0"/>
        <v>3.4246575342465753</v>
      </c>
      <c r="F16" s="9">
        <f t="shared" si="2"/>
        <v>0.4691311690748733</v>
      </c>
    </row>
    <row r="17" spans="1:6" ht="12.75">
      <c r="A17" s="8">
        <v>25000</v>
      </c>
      <c r="B17" s="2">
        <v>0.09</v>
      </c>
      <c r="C17" s="8">
        <f t="shared" si="1"/>
        <v>2250</v>
      </c>
      <c r="E17" s="9">
        <f t="shared" si="0"/>
        <v>1.7123287671232876</v>
      </c>
      <c r="F17" s="9">
        <f t="shared" si="2"/>
        <v>0.2638862826046162</v>
      </c>
    </row>
    <row r="18" spans="1:6" ht="12.75">
      <c r="A18" s="8">
        <v>10000</v>
      </c>
      <c r="B18" s="2">
        <v>0.11</v>
      </c>
      <c r="C18" s="8">
        <f t="shared" si="1"/>
        <v>1100</v>
      </c>
      <c r="E18" s="9">
        <f t="shared" si="0"/>
        <v>0.684931506849315</v>
      </c>
      <c r="F18" s="9">
        <f t="shared" si="2"/>
        <v>0.05160442859823606</v>
      </c>
    </row>
    <row r="19" spans="1:6" ht="12.75">
      <c r="A19" s="8">
        <v>5000</v>
      </c>
      <c r="B19" s="2">
        <v>0.7</v>
      </c>
      <c r="C19" s="8">
        <f t="shared" si="1"/>
        <v>3500</v>
      </c>
      <c r="E19" s="9">
        <f t="shared" si="0"/>
        <v>0.3424657534246575</v>
      </c>
      <c r="F19" s="9">
        <f t="shared" si="2"/>
        <v>0.08209795458810282</v>
      </c>
    </row>
    <row r="20" spans="3:6" ht="12.75">
      <c r="C20" s="8"/>
      <c r="E20" s="9"/>
      <c r="F20" s="9"/>
    </row>
    <row r="21" spans="2:7" ht="12.75">
      <c r="B21" s="10">
        <f>SUM(B11:B19)</f>
        <v>1</v>
      </c>
      <c r="C21" s="8">
        <f>SUM(C11:C20)</f>
        <v>14600</v>
      </c>
      <c r="E21" s="9" t="str">
        <f>+F10</f>
        <v>s.m.o.s.m.of w.</v>
      </c>
      <c r="F21" s="9">
        <f>SUM(F11:F20)</f>
        <v>3.857431037718146</v>
      </c>
      <c r="G21" s="11"/>
    </row>
    <row r="22" ht="13.5" thickBot="1">
      <c r="C22" s="8"/>
    </row>
    <row r="23" spans="1:5" ht="13.5" thickTop="1">
      <c r="A23" s="1" t="s">
        <v>19</v>
      </c>
      <c r="B23" s="48">
        <f>NORMSDIST((B7/B6-VLOOKUP(B5,'Data Standards'!A5:E7,4))/(SQRT(((Volatility!F21*VLOOKUP(Volatility!B5,'Data Standards'!A5:E7,5)))/(B6/C21))))</f>
        <v>0.008115882666974827</v>
      </c>
      <c r="C23" s="1" t="s">
        <v>81</v>
      </c>
      <c r="D23" s="50" t="s">
        <v>83</v>
      </c>
      <c r="E23" s="55">
        <f>1/B23</f>
        <v>123.21518694068888</v>
      </c>
    </row>
    <row r="24" spans="2:5" ht="13.5" thickBot="1">
      <c r="B24" s="49">
        <f>1-B23</f>
        <v>0.9918841173330252</v>
      </c>
      <c r="C24" s="1" t="s">
        <v>82</v>
      </c>
      <c r="D24" s="51" t="str">
        <f>+D23</f>
        <v>1 in</v>
      </c>
      <c r="E24" s="56">
        <f>1/B24</f>
        <v>1.0081822891657917</v>
      </c>
    </row>
    <row r="25" ht="13.5" thickTop="1">
      <c r="D25" s="37"/>
    </row>
    <row r="26" ht="12.75">
      <c r="B26" s="19"/>
    </row>
    <row r="27" spans="2:5" ht="12.75">
      <c r="B27" s="20"/>
      <c r="C27" s="13"/>
      <c r="D27" s="4"/>
      <c r="E27" s="10"/>
    </row>
    <row r="28" spans="2:3" ht="12.75">
      <c r="B28" s="20"/>
      <c r="C28" s="13"/>
    </row>
    <row r="29" ht="12.75">
      <c r="B29" s="20"/>
    </row>
    <row r="30" ht="12.75">
      <c r="B30" s="20"/>
    </row>
    <row r="31" ht="12.75">
      <c r="B31" s="20"/>
    </row>
    <row r="32" ht="12.75">
      <c r="B32" s="21"/>
    </row>
    <row r="33" ht="12.75">
      <c r="B33" s="21"/>
    </row>
    <row r="34" ht="12.75">
      <c r="B34" s="14"/>
    </row>
    <row r="35" ht="12.75">
      <c r="B35" s="3"/>
    </row>
    <row r="39" spans="1:2" ht="12.75">
      <c r="A39" s="4"/>
      <c r="B39" s="4"/>
    </row>
    <row r="40" spans="1:3" ht="12.75">
      <c r="A40" s="8"/>
      <c r="B40" s="8"/>
      <c r="C40" s="15"/>
    </row>
    <row r="41" spans="1:3" ht="12.75">
      <c r="A41" s="8"/>
      <c r="B41" s="8"/>
      <c r="C41" s="15"/>
    </row>
    <row r="42" spans="1:3" ht="12.75">
      <c r="A42" s="8"/>
      <c r="B42" s="8"/>
      <c r="C42" s="15"/>
    </row>
    <row r="43" spans="1:3" ht="12.75">
      <c r="A43" s="8"/>
      <c r="B43" s="8"/>
      <c r="C43" s="15"/>
    </row>
    <row r="44" spans="1:3" ht="12.75">
      <c r="A44" s="8"/>
      <c r="B44" s="8"/>
      <c r="C44" s="15"/>
    </row>
    <row r="45" spans="1:3" ht="12.75">
      <c r="A45" s="8"/>
      <c r="B45" s="8"/>
      <c r="C45" s="15"/>
    </row>
    <row r="46" spans="1:3" ht="12.75">
      <c r="A46" s="8"/>
      <c r="B46" s="8"/>
      <c r="C46" s="15"/>
    </row>
    <row r="47" spans="1:3" ht="12.75">
      <c r="A47" s="8"/>
      <c r="B47" s="8"/>
      <c r="C47" s="15"/>
    </row>
    <row r="48" spans="1:3" ht="12.75">
      <c r="A48" s="8"/>
      <c r="B48" s="8"/>
      <c r="C48" s="15"/>
    </row>
    <row r="50" spans="2:3" ht="12.75">
      <c r="B50" s="16"/>
      <c r="C50" s="10"/>
    </row>
    <row r="51" spans="1:2" ht="12.75">
      <c r="A51" s="17"/>
      <c r="B51" s="16"/>
    </row>
    <row r="53" ht="12.75">
      <c r="B53" s="8"/>
    </row>
    <row r="54" spans="2:4" ht="12.75">
      <c r="B54" s="8"/>
      <c r="C54" s="4"/>
      <c r="D54" s="10"/>
    </row>
    <row r="55" ht="12.75">
      <c r="B55" s="8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"/>
    </sheetView>
  </sheetViews>
  <sheetFormatPr defaultColWidth="9.140625" defaultRowHeight="12.75"/>
  <cols>
    <col min="2" max="2" width="9.57421875" style="0" bestFit="1" customWidth="1"/>
    <col min="4" max="5" width="15.7109375" style="0" customWidth="1"/>
    <col min="7" max="7" width="11.7109375" style="0" bestFit="1" customWidth="1"/>
  </cols>
  <sheetData>
    <row r="1" ht="15.75">
      <c r="D1" s="54" t="s">
        <v>84</v>
      </c>
    </row>
    <row r="2" ht="11.25" customHeight="1">
      <c r="A2" s="74" t="s">
        <v>92</v>
      </c>
    </row>
    <row r="3" ht="11.25" customHeight="1">
      <c r="A3" s="73" t="s">
        <v>85</v>
      </c>
    </row>
    <row r="4" spans="1:7" ht="11.25" customHeight="1" thickBot="1">
      <c r="A4" s="74"/>
      <c r="B4" s="75" t="s">
        <v>90</v>
      </c>
      <c r="C4" s="75" t="s">
        <v>91</v>
      </c>
      <c r="D4" s="76" t="s">
        <v>86</v>
      </c>
      <c r="E4" s="76" t="s">
        <v>87</v>
      </c>
      <c r="F4" s="74"/>
      <c r="G4" s="77" t="s">
        <v>88</v>
      </c>
    </row>
    <row r="5" spans="1:8" ht="13.5" thickTop="1">
      <c r="A5" s="38">
        <v>0.1</v>
      </c>
      <c r="B5" s="47">
        <f>+NORMSINV($A5+(1-$A5)/2)</f>
        <v>0.12566147233883385</v>
      </c>
      <c r="C5" s="47">
        <f>-NORMSINV($A5+(1-$A5)/2)</f>
        <v>-0.12566147233883385</v>
      </c>
      <c r="D5" s="67">
        <f>(+VLOOKUP(Volatility!$B$5,'Data Standards'!$A$5:$E$7,4)*Volatility!$B$6)+(Volatility!$C$21*B5*SQRT((Volatility!$B$6/Volatility!$C$21*Volatility!$F$21*VLOOKUP(Volatility!$B$5,'Data Standards'!$A$5:$E$7,5))))</f>
        <v>463481.2398294761</v>
      </c>
      <c r="E5" s="68">
        <f>(+VLOOKUP(Volatility!$B$5,'Data Standards'!$A$5:$E$7,4)*Volatility!$B$6)+(Volatility!$C$21*C5*SQRT((Volatility!$B$6/Volatility!$C$21*Volatility!$F$21*VLOOKUP(Volatility!$B$5,'Data Standards'!$A$5:$E$7,5))))</f>
        <v>169018.76017052392</v>
      </c>
      <c r="G5" s="87">
        <f aca="true" t="shared" si="0" ref="G5:G22">1/((1-A5)/2)</f>
        <v>2.2222222222222223</v>
      </c>
      <c r="H5" s="57" t="s">
        <v>89</v>
      </c>
    </row>
    <row r="6" spans="1:7" ht="12.75">
      <c r="A6" s="38">
        <v>0.15</v>
      </c>
      <c r="B6" s="47">
        <f aca="true" t="shared" si="1" ref="B6:B25">+NORMSINV($A6+(1-$A6)/2)</f>
        <v>0.18911805454990827</v>
      </c>
      <c r="C6" s="47">
        <f aca="true" t="shared" si="2" ref="C6:C25">-NORMSINV($A6+(1-$A6)/2)</f>
        <v>-0.18911805454990827</v>
      </c>
      <c r="D6" s="69">
        <f>(+VLOOKUP(Volatility!$B$5,'Data Standards'!$A$5:$E$7,4)*Volatility!$B$6)+(Volatility!$C$21*B6*SQRT((Volatility!$B$6/Volatility!$C$21*Volatility!$F$21*VLOOKUP(Volatility!$B$5,'Data Standards'!$A$5:$E$7,5))))</f>
        <v>537830.1321382152</v>
      </c>
      <c r="E6" s="70">
        <f>(+VLOOKUP(Volatility!$B$5,'Data Standards'!$A$5:$E$7,4)*Volatility!$B$6)+(Volatility!$C$21*C6*SQRT((Volatility!$B$6/Volatility!$C$21*Volatility!$F$21*VLOOKUP(Volatility!$B$5,'Data Standards'!$A$5:$E$7,5))))</f>
        <v>94669.86786178473</v>
      </c>
      <c r="G6" s="87">
        <f t="shared" si="0"/>
        <v>2.3529411764705883</v>
      </c>
    </row>
    <row r="7" spans="1:7" ht="12.75">
      <c r="A7" s="38">
        <v>0.2</v>
      </c>
      <c r="B7" s="47">
        <f t="shared" si="1"/>
        <v>0.25334657038911246</v>
      </c>
      <c r="C7" s="47">
        <f t="shared" si="2"/>
        <v>-0.25334657038911246</v>
      </c>
      <c r="D7" s="69">
        <f>(+VLOOKUP(Volatility!$B$5,'Data Standards'!$A$5:$E$7,4)*Volatility!$B$6)+(Volatility!$C$21*B7*SQRT((Volatility!$B$6/Volatility!$C$21*Volatility!$F$21*VLOOKUP(Volatility!$B$5,'Data Standards'!$A$5:$E$7,5))))</f>
        <v>613083.4603334699</v>
      </c>
      <c r="E7" s="70">
        <f>(+VLOOKUP(Volatility!$B$5,'Data Standards'!$A$5:$E$7,4)*Volatility!$B$6)+(Volatility!$C$21*C7*SQRT((Volatility!$B$6/Volatility!$C$21*Volatility!$F$21*VLOOKUP(Volatility!$B$5,'Data Standards'!$A$5:$E$7,5))))</f>
        <v>19416.539666530094</v>
      </c>
      <c r="G7" s="87">
        <f t="shared" si="0"/>
        <v>2.5</v>
      </c>
    </row>
    <row r="8" spans="1:7" ht="12.75">
      <c r="A8" s="38">
        <v>0.25</v>
      </c>
      <c r="B8" s="47">
        <f t="shared" si="1"/>
        <v>0.318639195029391</v>
      </c>
      <c r="C8" s="47">
        <f t="shared" si="2"/>
        <v>-0.318639195029391</v>
      </c>
      <c r="D8" s="69">
        <f>(+VLOOKUP(Volatility!$B$5,'Data Standards'!$A$5:$E$7,4)*Volatility!$B$6)+(Volatility!$C$21*B8*SQRT((Volatility!$B$6/Volatility!$C$21*Volatility!$F$21*VLOOKUP(Volatility!$B$5,'Data Standards'!$A$5:$E$7,5))))</f>
        <v>689583.5514002687</v>
      </c>
      <c r="E8" s="70">
        <f>(+VLOOKUP(Volatility!$B$5,'Data Standards'!$A$5:$E$7,4)*Volatility!$B$6)+(Volatility!$C$21*C8*SQRT((Volatility!$B$6/Volatility!$C$21*Volatility!$F$21*VLOOKUP(Volatility!$B$5,'Data Standards'!$A$5:$E$7,5))))</f>
        <v>-57083.55140026868</v>
      </c>
      <c r="G8" s="87">
        <f t="shared" si="0"/>
        <v>2.6666666666666665</v>
      </c>
    </row>
    <row r="9" spans="1:7" ht="12.75">
      <c r="A9" s="38">
        <v>0.3</v>
      </c>
      <c r="B9" s="47">
        <f t="shared" si="1"/>
        <v>0.38532107282662764</v>
      </c>
      <c r="C9" s="47">
        <f t="shared" si="2"/>
        <v>-0.38532107282662764</v>
      </c>
      <c r="D9" s="69">
        <f>(+VLOOKUP(Volatility!$B$5,'Data Standards'!$A$5:$E$7,4)*Volatility!$B$6)+(Volatility!$C$21*B9*SQRT((Volatility!$B$6/Volatility!$C$21*Volatility!$F$21*VLOOKUP(Volatility!$B$5,'Data Standards'!$A$5:$E$7,5))))</f>
        <v>767711.3606604724</v>
      </c>
      <c r="E9" s="70">
        <f>(+VLOOKUP(Volatility!$B$5,'Data Standards'!$A$5:$E$7,4)*Volatility!$B$6)+(Volatility!$C$21*C9*SQRT((Volatility!$B$6/Volatility!$C$21*Volatility!$F$21*VLOOKUP(Volatility!$B$5,'Data Standards'!$A$5:$E$7,5))))</f>
        <v>-135211.36066047236</v>
      </c>
      <c r="G9" s="87">
        <f t="shared" si="0"/>
        <v>2.857142857142857</v>
      </c>
    </row>
    <row r="10" spans="1:7" ht="12.75">
      <c r="A10" s="38">
        <v>0.35</v>
      </c>
      <c r="B10" s="47">
        <f t="shared" si="1"/>
        <v>0.4537628228717949</v>
      </c>
      <c r="C10" s="47">
        <f t="shared" si="2"/>
        <v>-0.4537628228717949</v>
      </c>
      <c r="D10" s="69">
        <f>(+VLOOKUP(Volatility!$B$5,'Data Standards'!$A$5:$E$7,4)*Volatility!$B$6)+(Volatility!$C$21*B10*SQRT((Volatility!$B$6/Volatility!$C$21*Volatility!$F$21*VLOOKUP(Volatility!$B$5,'Data Standards'!$A$5:$E$7,5))))</f>
        <v>847901.1239005375</v>
      </c>
      <c r="E10" s="70">
        <f>(+VLOOKUP(Volatility!$B$5,'Data Standards'!$A$5:$E$7,4)*Volatility!$B$6)+(Volatility!$C$21*C10*SQRT((Volatility!$B$6/Volatility!$C$21*Volatility!$F$21*VLOOKUP(Volatility!$B$5,'Data Standards'!$A$5:$E$7,5))))</f>
        <v>-215401.1239005375</v>
      </c>
      <c r="G10" s="87">
        <f t="shared" si="0"/>
        <v>3.0769230769230766</v>
      </c>
    </row>
    <row r="11" spans="1:7" ht="12.75">
      <c r="A11" s="38">
        <v>0.4</v>
      </c>
      <c r="B11" s="47">
        <f t="shared" si="1"/>
        <v>0.5244010026217438</v>
      </c>
      <c r="C11" s="47">
        <f t="shared" si="2"/>
        <v>-0.5244010026217438</v>
      </c>
      <c r="D11" s="69">
        <f>(+VLOOKUP(Volatility!$B$5,'Data Standards'!$A$5:$E$7,4)*Volatility!$B$6)+(Volatility!$C$21*B11*SQRT((Volatility!$B$6/Volatility!$C$21*Volatility!$F$21*VLOOKUP(Volatility!$B$5,'Data Standards'!$A$5:$E$7,5))))</f>
        <v>930664.3335805847</v>
      </c>
      <c r="E11" s="70">
        <f>(+VLOOKUP(Volatility!$B$5,'Data Standards'!$A$5:$E$7,4)*Volatility!$B$6)+(Volatility!$C$21*C11*SQRT((Volatility!$B$6/Volatility!$C$21*Volatility!$F$21*VLOOKUP(Volatility!$B$5,'Data Standards'!$A$5:$E$7,5))))</f>
        <v>-298164.33358058473</v>
      </c>
      <c r="G11" s="87">
        <f t="shared" si="0"/>
        <v>3.3333333333333335</v>
      </c>
    </row>
    <row r="12" spans="1:7" ht="12.75">
      <c r="A12" s="38">
        <v>0.45</v>
      </c>
      <c r="B12" s="47">
        <f t="shared" si="1"/>
        <v>0.5977608452667482</v>
      </c>
      <c r="C12" s="47">
        <f t="shared" si="2"/>
        <v>-0.5977608452667482</v>
      </c>
      <c r="D12" s="69">
        <f>(+VLOOKUP(Volatility!$B$5,'Data Standards'!$A$5:$E$7,4)*Volatility!$B$6)+(Volatility!$C$21*B12*SQRT((Volatility!$B$6/Volatility!$C$21*Volatility!$F$21*VLOOKUP(Volatility!$B$5,'Data Standards'!$A$5:$E$7,5))))</f>
        <v>1016616.379066697</v>
      </c>
      <c r="E12" s="70">
        <f>(+VLOOKUP(Volatility!$B$5,'Data Standards'!$A$5:$E$7,4)*Volatility!$B$6)+(Volatility!$C$21*C12*SQRT((Volatility!$B$6/Volatility!$C$21*Volatility!$F$21*VLOOKUP(Volatility!$B$5,'Data Standards'!$A$5:$E$7,5))))</f>
        <v>-384116.379066697</v>
      </c>
      <c r="G12" s="87">
        <f t="shared" si="0"/>
        <v>3.6363636363636362</v>
      </c>
    </row>
    <row r="13" spans="1:7" ht="12.75">
      <c r="A13" s="38">
        <v>0.5</v>
      </c>
      <c r="B13" s="47">
        <f t="shared" si="1"/>
        <v>0.6744903657818213</v>
      </c>
      <c r="C13" s="47">
        <f t="shared" si="2"/>
        <v>-0.6744903657818213</v>
      </c>
      <c r="D13" s="69">
        <f>(+VLOOKUP(Volatility!$B$5,'Data Standards'!$A$5:$E$7,4)*Volatility!$B$6)+(Volatility!$C$21*B13*SQRT((Volatility!$B$6/Volatility!$C$21*Volatility!$F$21*VLOOKUP(Volatility!$B$5,'Data Standards'!$A$5:$E$7,5))))</f>
        <v>1106516.5069793656</v>
      </c>
      <c r="E13" s="70">
        <f>(+VLOOKUP(Volatility!$B$5,'Data Standards'!$A$5:$E$7,4)*Volatility!$B$6)+(Volatility!$C$21*C13*SQRT((Volatility!$B$6/Volatility!$C$21*Volatility!$F$21*VLOOKUP(Volatility!$B$5,'Data Standards'!$A$5:$E$7,5))))</f>
        <v>-474016.5069793656</v>
      </c>
      <c r="G13" s="87">
        <f t="shared" si="0"/>
        <v>4</v>
      </c>
    </row>
    <row r="14" spans="1:7" ht="12.75">
      <c r="A14" s="38">
        <v>0.55</v>
      </c>
      <c r="B14" s="47">
        <f t="shared" si="1"/>
        <v>0.755414930608822</v>
      </c>
      <c r="C14" s="47">
        <f t="shared" si="2"/>
        <v>-0.755414930608822</v>
      </c>
      <c r="D14" s="69">
        <f>(+VLOOKUP(Volatility!$B$5,'Data Standards'!$A$5:$E$7,4)*Volatility!$B$6)+(Volatility!$C$21*B14*SQRT((Volatility!$B$6/Volatility!$C$21*Volatility!$F$21*VLOOKUP(Volatility!$B$5,'Data Standards'!$A$5:$E$7,5))))</f>
        <v>1201331.7577510062</v>
      </c>
      <c r="E14" s="70">
        <f>(+VLOOKUP(Volatility!$B$5,'Data Standards'!$A$5:$E$7,4)*Volatility!$B$6)+(Volatility!$C$21*C14*SQRT((Volatility!$B$6/Volatility!$C$21*Volatility!$F$21*VLOOKUP(Volatility!$B$5,'Data Standards'!$A$5:$E$7,5))))</f>
        <v>-568831.7577510063</v>
      </c>
      <c r="G14" s="87">
        <f t="shared" si="0"/>
        <v>4.444444444444445</v>
      </c>
    </row>
    <row r="15" spans="1:7" ht="12.75">
      <c r="A15" s="38">
        <v>0.6</v>
      </c>
      <c r="B15" s="47">
        <f t="shared" si="1"/>
        <v>0.841621385916369</v>
      </c>
      <c r="C15" s="47">
        <f t="shared" si="2"/>
        <v>-0.841621385916369</v>
      </c>
      <c r="D15" s="69">
        <f>(+VLOOKUP(Volatility!$B$5,'Data Standards'!$A$5:$E$7,4)*Volatility!$B$6)+(Volatility!$C$21*B15*SQRT((Volatility!$B$6/Volatility!$C$21*Volatility!$F$21*VLOOKUP(Volatility!$B$5,'Data Standards'!$A$5:$E$7,5))))</f>
        <v>1302335.5344854612</v>
      </c>
      <c r="E15" s="70">
        <f>(+VLOOKUP(Volatility!$B$5,'Data Standards'!$A$5:$E$7,4)*Volatility!$B$6)+(Volatility!$C$21*C15*SQRT((Volatility!$B$6/Volatility!$C$21*Volatility!$F$21*VLOOKUP(Volatility!$B$5,'Data Standards'!$A$5:$E$7,5))))</f>
        <v>-669835.5344854613</v>
      </c>
      <c r="G15" s="87">
        <f t="shared" si="0"/>
        <v>5</v>
      </c>
    </row>
    <row r="16" spans="1:7" ht="12.75">
      <c r="A16" s="38">
        <v>0.65</v>
      </c>
      <c r="B16" s="47">
        <f t="shared" si="1"/>
        <v>0.9345899343315978</v>
      </c>
      <c r="C16" s="47">
        <f t="shared" si="2"/>
        <v>-0.9345899343315978</v>
      </c>
      <c r="D16" s="69">
        <f>(+VLOOKUP(Volatility!$B$5,'Data Standards'!$A$5:$E$7,4)*Volatility!$B$6)+(Volatility!$C$21*B16*SQRT((Volatility!$B$6/Volatility!$C$21*Volatility!$F$21*VLOOKUP(Volatility!$B$5,'Data Standards'!$A$5:$E$7,5))))</f>
        <v>1411262.1163053273</v>
      </c>
      <c r="E16" s="70">
        <f>(+VLOOKUP(Volatility!$B$5,'Data Standards'!$A$5:$E$7,4)*Volatility!$B$6)+(Volatility!$C$21*C16*SQRT((Volatility!$B$6/Volatility!$C$21*Volatility!$F$21*VLOOKUP(Volatility!$B$5,'Data Standards'!$A$5:$E$7,5))))</f>
        <v>-778762.1163053273</v>
      </c>
      <c r="G16" s="87">
        <f t="shared" si="0"/>
        <v>5.714285714285714</v>
      </c>
    </row>
    <row r="17" spans="1:7" ht="12.75">
      <c r="A17" s="38">
        <v>0.7</v>
      </c>
      <c r="B17" s="47">
        <f t="shared" si="1"/>
        <v>1.0364328772993758</v>
      </c>
      <c r="C17" s="47">
        <f t="shared" si="2"/>
        <v>-1.0364328772993758</v>
      </c>
      <c r="D17" s="69">
        <f>(+VLOOKUP(Volatility!$B$5,'Data Standards'!$A$5:$E$7,4)*Volatility!$B$6)+(Volatility!$C$21*B17*SQRT((Volatility!$B$6/Volatility!$C$21*Volatility!$F$21*VLOOKUP(Volatility!$B$5,'Data Standards'!$A$5:$E$7,5))))</f>
        <v>1530586.3807910837</v>
      </c>
      <c r="E17" s="70">
        <f>(+VLOOKUP(Volatility!$B$5,'Data Standards'!$A$5:$E$7,4)*Volatility!$B$6)+(Volatility!$C$21*C17*SQRT((Volatility!$B$6/Volatility!$C$21*Volatility!$F$21*VLOOKUP(Volatility!$B$5,'Data Standards'!$A$5:$E$7,5))))</f>
        <v>-898086.3807910837</v>
      </c>
      <c r="G17" s="87">
        <f t="shared" si="0"/>
        <v>6.666666666666666</v>
      </c>
    </row>
    <row r="18" spans="1:7" ht="12.75">
      <c r="A18" s="38">
        <v>0.75</v>
      </c>
      <c r="B18" s="47">
        <f t="shared" si="1"/>
        <v>1.1503493624331895</v>
      </c>
      <c r="C18" s="47">
        <f t="shared" si="2"/>
        <v>-1.1503493624331895</v>
      </c>
      <c r="D18" s="69">
        <f>(+VLOOKUP(Volatility!$B$5,'Data Standards'!$A$5:$E$7,4)*Volatility!$B$6)+(Volatility!$C$21*B18*SQRT((Volatility!$B$6/Volatility!$C$21*Volatility!$F$21*VLOOKUP(Volatility!$B$5,'Data Standards'!$A$5:$E$7,5))))</f>
        <v>1664056.6086270527</v>
      </c>
      <c r="E18" s="70">
        <f>(+VLOOKUP(Volatility!$B$5,'Data Standards'!$A$5:$E$7,4)*Volatility!$B$6)+(Volatility!$C$21*C18*SQRT((Volatility!$B$6/Volatility!$C$21*Volatility!$F$21*VLOOKUP(Volatility!$B$5,'Data Standards'!$A$5:$E$7,5))))</f>
        <v>-1031556.6086270527</v>
      </c>
      <c r="G18" s="87">
        <f t="shared" si="0"/>
        <v>8</v>
      </c>
    </row>
    <row r="19" spans="1:7" ht="12.75">
      <c r="A19" s="38">
        <v>0.8</v>
      </c>
      <c r="B19" s="47">
        <f t="shared" si="1"/>
        <v>1.2815507943741977</v>
      </c>
      <c r="C19" s="47">
        <f t="shared" si="2"/>
        <v>-1.2815507943741977</v>
      </c>
      <c r="D19" s="69">
        <f>(+VLOOKUP(Volatility!$B$5,'Data Standards'!$A$5:$E$7,4)*Volatility!$B$6)+(Volatility!$C$21*B19*SQRT((Volatility!$B$6/Volatility!$C$21*Volatility!$F$21*VLOOKUP(Volatility!$B$5,'Data Standards'!$A$5:$E$7,5))))</f>
        <v>1817778.741055925</v>
      </c>
      <c r="E19" s="70">
        <f>(+VLOOKUP(Volatility!$B$5,'Data Standards'!$A$5:$E$7,4)*Volatility!$B$6)+(Volatility!$C$21*C19*SQRT((Volatility!$B$6/Volatility!$C$21*Volatility!$F$21*VLOOKUP(Volatility!$B$5,'Data Standards'!$A$5:$E$7,5))))</f>
        <v>-1185278.741055925</v>
      </c>
      <c r="G19" s="87">
        <f t="shared" si="0"/>
        <v>10.000000000000002</v>
      </c>
    </row>
    <row r="20" spans="1:7" ht="12.75">
      <c r="A20" s="38">
        <v>0.85</v>
      </c>
      <c r="B20" s="47">
        <f t="shared" si="1"/>
        <v>1.4395300240721554</v>
      </c>
      <c r="C20" s="47">
        <f t="shared" si="2"/>
        <v>-1.4395300240721554</v>
      </c>
      <c r="D20" s="69">
        <f>(+VLOOKUP(Volatility!$B$5,'Data Standards'!$A$5:$E$7,4)*Volatility!$B$6)+(Volatility!$C$21*B20*SQRT((Volatility!$B$6/Volatility!$C$21*Volatility!$F$21*VLOOKUP(Volatility!$B$5,'Data Standards'!$A$5:$E$7,5))))</f>
        <v>2002875.075062095</v>
      </c>
      <c r="E20" s="70">
        <f>(+VLOOKUP(Volatility!$B$5,'Data Standards'!$A$5:$E$7,4)*Volatility!$B$6)+(Volatility!$C$21*C20*SQRT((Volatility!$B$6/Volatility!$C$21*Volatility!$F$21*VLOOKUP(Volatility!$B$5,'Data Standards'!$A$5:$E$7,5))))</f>
        <v>-1370375.075062095</v>
      </c>
      <c r="G20" s="87">
        <f t="shared" si="0"/>
        <v>13.333333333333332</v>
      </c>
    </row>
    <row r="21" spans="1:7" ht="12.75">
      <c r="A21" s="38">
        <v>0.9</v>
      </c>
      <c r="B21" s="47">
        <f t="shared" si="1"/>
        <v>1.6448530004709028</v>
      </c>
      <c r="C21" s="47">
        <f t="shared" si="2"/>
        <v>-1.6448530004709028</v>
      </c>
      <c r="D21" s="69">
        <f>(+VLOOKUP(Volatility!$B$5,'Data Standards'!$A$5:$E$7,4)*Volatility!$B$6)+(Volatility!$C$21*B21*SQRT((Volatility!$B$6/Volatility!$C$21*Volatility!$F$21*VLOOKUP(Volatility!$B$5,'Data Standards'!$A$5:$E$7,5))))</f>
        <v>2243441.7007590607</v>
      </c>
      <c r="E21" s="70">
        <f>(+VLOOKUP(Volatility!$B$5,'Data Standards'!$A$5:$E$7,4)*Volatility!$B$6)+(Volatility!$C$21*C21*SQRT((Volatility!$B$6/Volatility!$C$21*Volatility!$F$21*VLOOKUP(Volatility!$B$5,'Data Standards'!$A$5:$E$7,5))))</f>
        <v>-1610941.7007590604</v>
      </c>
      <c r="G21" s="87">
        <f t="shared" si="0"/>
        <v>20.000000000000004</v>
      </c>
    </row>
    <row r="22" spans="1:7" ht="12.75">
      <c r="A22" s="38">
        <v>0.95</v>
      </c>
      <c r="B22" s="47">
        <f t="shared" si="1"/>
        <v>1.9599610823206604</v>
      </c>
      <c r="C22" s="47">
        <f t="shared" si="2"/>
        <v>-1.9599610823206604</v>
      </c>
      <c r="D22" s="69">
        <f>(+VLOOKUP(Volatility!$B$5,'Data Standards'!$A$5:$E$7,4)*Volatility!$B$6)+(Volatility!$C$21*B22*SQRT((Volatility!$B$6/Volatility!$C$21*Volatility!$F$21*VLOOKUP(Volatility!$B$5,'Data Standards'!$A$5:$E$7,5))))</f>
        <v>2612638.0240834574</v>
      </c>
      <c r="E22" s="70">
        <f>(+VLOOKUP(Volatility!$B$5,'Data Standards'!$A$5:$E$7,4)*Volatility!$B$6)+(Volatility!$C$21*C22*SQRT((Volatility!$B$6/Volatility!$C$21*Volatility!$F$21*VLOOKUP(Volatility!$B$5,'Data Standards'!$A$5:$E$7,5))))</f>
        <v>-1980138.0240834574</v>
      </c>
      <c r="G22" s="87">
        <f t="shared" si="0"/>
        <v>39.999999999999964</v>
      </c>
    </row>
    <row r="23" spans="1:7" ht="12.75">
      <c r="A23" s="53">
        <v>0.98</v>
      </c>
      <c r="B23" s="47">
        <f t="shared" si="1"/>
        <v>2.3263419279828668</v>
      </c>
      <c r="C23" s="47">
        <f t="shared" si="2"/>
        <v>-2.3263419279828668</v>
      </c>
      <c r="D23" s="69">
        <f>(+VLOOKUP(Volatility!$B$5,'Data Standards'!$A$5:$E$7,4)*Volatility!$B$6)+(Volatility!$C$21*B23*SQRT((Volatility!$B$6/Volatility!$C$21*Volatility!$F$21*VLOOKUP(Volatility!$B$5,'Data Standards'!$A$5:$E$7,5))))</f>
        <v>3041908.0712397355</v>
      </c>
      <c r="E23" s="70">
        <f>(+VLOOKUP(Volatility!$B$5,'Data Standards'!$A$5:$E$7,4)*Volatility!$B$6)+(Volatility!$C$21*C23*SQRT((Volatility!$B$6/Volatility!$C$21*Volatility!$F$21*VLOOKUP(Volatility!$B$5,'Data Standards'!$A$5:$E$7,5))))</f>
        <v>-2409408.0712397355</v>
      </c>
      <c r="G23" s="87">
        <f>1/((1-A23)/2)</f>
        <v>99.99999999999991</v>
      </c>
    </row>
    <row r="24" spans="1:7" ht="12.75">
      <c r="A24" s="53">
        <v>0.99</v>
      </c>
      <c r="B24" s="47">
        <f t="shared" si="1"/>
        <v>2.5758345145732164</v>
      </c>
      <c r="C24" s="47">
        <f t="shared" si="2"/>
        <v>-2.5758345145732164</v>
      </c>
      <c r="D24" s="69">
        <f>(+VLOOKUP(Volatility!$B$5,'Data Standards'!$A$5:$E$7,4)*Volatility!$B$6)+(Volatility!$C$21*B24*SQRT((Volatility!$B$6/Volatility!$C$21*Volatility!$F$21*VLOOKUP(Volatility!$B$5,'Data Standards'!$A$5:$E$7,5))))</f>
        <v>3334226.012198703</v>
      </c>
      <c r="E24" s="70">
        <f>(+VLOOKUP(Volatility!$B$5,'Data Standards'!$A$5:$E$7,4)*Volatility!$B$6)+(Volatility!$C$21*C24*SQRT((Volatility!$B$6/Volatility!$C$21*Volatility!$F$21*VLOOKUP(Volatility!$B$5,'Data Standards'!$A$5:$E$7,5))))</f>
        <v>-2701726.012198703</v>
      </c>
      <c r="G24" s="87">
        <f>1/((1-A24)/2)</f>
        <v>199.99999999999983</v>
      </c>
    </row>
    <row r="25" spans="1:7" ht="13.5" thickBot="1">
      <c r="A25" s="53">
        <v>0.998</v>
      </c>
      <c r="B25" s="47">
        <f t="shared" si="1"/>
        <v>3.0902447178959846</v>
      </c>
      <c r="C25" s="47">
        <f t="shared" si="2"/>
        <v>-3.0902447178959846</v>
      </c>
      <c r="D25" s="71">
        <f>(+VLOOKUP(Volatility!$B$5,'Data Standards'!$A$5:$E$7,4)*Volatility!$B$6)+(Volatility!$C$21*B25*SQRT((Volatility!$B$6/Volatility!$C$21*Volatility!$F$21*VLOOKUP(Volatility!$B$5,'Data Standards'!$A$5:$E$7,5))))</f>
        <v>3936934.6277075675</v>
      </c>
      <c r="E25" s="72">
        <f>(+VLOOKUP(Volatility!$B$5,'Data Standards'!$A$5:$E$7,4)*Volatility!$B$6)+(Volatility!$C$21*C25*SQRT((Volatility!$B$6/Volatility!$C$21*Volatility!$F$21*VLOOKUP(Volatility!$B$5,'Data Standards'!$A$5:$E$7,5))))</f>
        <v>-3304434.6277075675</v>
      </c>
      <c r="G25" s="87">
        <f>1/((1-A25)/2)</f>
        <v>999.9999999999991</v>
      </c>
    </row>
    <row r="26" ht="13.5" thickTop="1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3" sqref="B3"/>
    </sheetView>
  </sheetViews>
  <sheetFormatPr defaultColWidth="9.140625" defaultRowHeight="12.75"/>
  <cols>
    <col min="1" max="1" width="18.7109375" style="0" bestFit="1" customWidth="1"/>
    <col min="2" max="2" width="14.8515625" style="0" bestFit="1" customWidth="1"/>
    <col min="3" max="4" width="13.8515625" style="0" bestFit="1" customWidth="1"/>
    <col min="5" max="5" width="13.140625" style="0" bestFit="1" customWidth="1"/>
    <col min="6" max="6" width="15.140625" style="0" bestFit="1" customWidth="1"/>
    <col min="7" max="7" width="13.8515625" style="0" bestFit="1" customWidth="1"/>
    <col min="8" max="8" width="6.00390625" style="0" customWidth="1"/>
  </cols>
  <sheetData>
    <row r="1" ht="15.75">
      <c r="C1" s="54" t="s">
        <v>93</v>
      </c>
    </row>
    <row r="2" spans="1:4" ht="12.75">
      <c r="A2" t="str">
        <f>+Volatility!A3</f>
        <v>Entry fields in blue. Sheet extends to row 24.</v>
      </c>
      <c r="D2" t="s">
        <v>126</v>
      </c>
    </row>
    <row r="3" spans="1:2" ht="13.5" thickBot="1">
      <c r="A3" t="s">
        <v>99</v>
      </c>
      <c r="B3" s="29">
        <v>0.1</v>
      </c>
    </row>
    <row r="4" spans="1:6" ht="13.5" thickTop="1">
      <c r="A4" t="s">
        <v>97</v>
      </c>
      <c r="B4" s="59">
        <v>0.0075</v>
      </c>
      <c r="C4" t="s">
        <v>101</v>
      </c>
      <c r="E4" s="89" t="s">
        <v>113</v>
      </c>
      <c r="F4" s="90">
        <f>+(D13+E13+F13)/Volatility!B6</f>
        <v>0.0075</v>
      </c>
    </row>
    <row r="5" spans="1:6" ht="13.5" thickBot="1">
      <c r="A5" t="s">
        <v>109</v>
      </c>
      <c r="B5" s="59">
        <v>0</v>
      </c>
      <c r="C5" t="s">
        <v>110</v>
      </c>
      <c r="E5" s="91" t="s">
        <v>114</v>
      </c>
      <c r="F5" s="96">
        <f>+G13/B13</f>
        <v>0.30711462450592875</v>
      </c>
    </row>
    <row r="6" spans="1:2" ht="13.5" thickTop="1">
      <c r="A6" t="s">
        <v>105</v>
      </c>
      <c r="B6" s="60">
        <v>0</v>
      </c>
    </row>
    <row r="7" spans="1:2" ht="12.75">
      <c r="A7" t="s">
        <v>107</v>
      </c>
      <c r="B7" s="63">
        <v>0</v>
      </c>
    </row>
    <row r="8" spans="2:8" ht="12.75">
      <c r="B8" s="41" t="s">
        <v>98</v>
      </c>
      <c r="C8" s="41" t="s">
        <v>100</v>
      </c>
      <c r="D8" s="41" t="s">
        <v>96</v>
      </c>
      <c r="E8" s="41" t="s">
        <v>108</v>
      </c>
      <c r="F8" s="41" t="s">
        <v>106</v>
      </c>
      <c r="G8" s="41" t="s">
        <v>102</v>
      </c>
      <c r="H8" s="1"/>
    </row>
    <row r="9" spans="1:2" ht="12.75">
      <c r="A9" s="1" t="s">
        <v>94</v>
      </c>
      <c r="B9" t="s">
        <v>127</v>
      </c>
    </row>
    <row r="10" ht="13.5" thickBot="1">
      <c r="A10" s="62">
        <f>+'Result range'!A15</f>
        <v>0.6</v>
      </c>
    </row>
    <row r="11" spans="1:8" ht="13.5" thickTop="1">
      <c r="A11" s="1" t="s">
        <v>86</v>
      </c>
      <c r="B11" s="64">
        <f>+'Result range'!D15</f>
        <v>1302335.5344854612</v>
      </c>
      <c r="C11" s="78">
        <f>+B11*(1-$B$3)</f>
        <v>1172101.9810369152</v>
      </c>
      <c r="D11" s="78">
        <f>+$B$4*Volatility!$B$6</f>
        <v>187500</v>
      </c>
      <c r="E11" s="79">
        <f>+IF(B11&lt;0,0,B11*$B$5)</f>
        <v>0</v>
      </c>
      <c r="F11" s="80">
        <f>+$B$6+$B$7</f>
        <v>0</v>
      </c>
      <c r="G11" s="68">
        <f>+C11-D11-E11-F11</f>
        <v>984601.9810369152</v>
      </c>
      <c r="H11" s="15"/>
    </row>
    <row r="12" spans="1:7" ht="12.75">
      <c r="A12" s="1" t="s">
        <v>87</v>
      </c>
      <c r="B12" s="65">
        <f>+'Result range'!E15</f>
        <v>-669835.5344854613</v>
      </c>
      <c r="C12" s="81">
        <f>+B12*(1-$B$3)</f>
        <v>-602851.9810369152</v>
      </c>
      <c r="D12" s="81">
        <f>+$B$4*Volatility!$B$6</f>
        <v>187500</v>
      </c>
      <c r="E12" s="82">
        <f>+IF(B12&lt;0,0,B12*$B$5)</f>
        <v>0</v>
      </c>
      <c r="F12" s="83">
        <f>+$B$6+$B$7</f>
        <v>0</v>
      </c>
      <c r="G12" s="70">
        <f>+C12-D12-E12-F12</f>
        <v>-790351.9810369152</v>
      </c>
    </row>
    <row r="13" spans="1:7" ht="13.5" thickBot="1">
      <c r="A13" s="1" t="s">
        <v>27</v>
      </c>
      <c r="B13" s="66">
        <f>+(B11+B12)/2</f>
        <v>316249.99999999994</v>
      </c>
      <c r="C13" s="84">
        <f>+B13*(1-$B$3)</f>
        <v>284624.99999999994</v>
      </c>
      <c r="D13" s="84">
        <f>+$B$4*Volatility!$B$6</f>
        <v>187500</v>
      </c>
      <c r="E13" s="85">
        <f>+'Player Analysis'!F22</f>
        <v>0</v>
      </c>
      <c r="F13" s="86">
        <f>+$B$6+$B$7</f>
        <v>0</v>
      </c>
      <c r="G13" s="72">
        <f>+C13-D13-E13-F13</f>
        <v>97124.99999999994</v>
      </c>
    </row>
    <row r="14" spans="2:7" ht="12" customHeight="1" thickTop="1">
      <c r="B14" s="8"/>
      <c r="G14" s="15"/>
    </row>
    <row r="15" spans="1:7" ht="12.75">
      <c r="A15" s="1" t="s">
        <v>94</v>
      </c>
      <c r="B15" t="s">
        <v>128</v>
      </c>
      <c r="G15" s="61"/>
    </row>
    <row r="16" spans="1:7" ht="13.5" thickBot="1">
      <c r="A16" s="62">
        <f>+'Result range'!A19</f>
        <v>0.8</v>
      </c>
      <c r="B16" s="8"/>
      <c r="G16" s="61"/>
    </row>
    <row r="17" spans="1:7" ht="13.5" thickTop="1">
      <c r="A17" s="1" t="s">
        <v>86</v>
      </c>
      <c r="B17" s="64">
        <f>+'Result range'!D19</f>
        <v>1817778.741055925</v>
      </c>
      <c r="C17" s="78">
        <f>+B17*(1-$B$3)</f>
        <v>1636000.8669503324</v>
      </c>
      <c r="D17" s="78">
        <f>+$B$4*Volatility!$B$6</f>
        <v>187500</v>
      </c>
      <c r="E17" s="79">
        <f>+IF(B17&lt;0,0,B17*$B$5)</f>
        <v>0</v>
      </c>
      <c r="F17" s="80">
        <f>+$B$6+$B$7</f>
        <v>0</v>
      </c>
      <c r="G17" s="68">
        <f>+C17-D17-E17-F17</f>
        <v>1448500.8669503324</v>
      </c>
    </row>
    <row r="18" spans="1:7" ht="13.5" thickBot="1">
      <c r="A18" s="1" t="s">
        <v>87</v>
      </c>
      <c r="B18" s="66">
        <f>+'Result range'!E19</f>
        <v>-1185278.741055925</v>
      </c>
      <c r="C18" s="84">
        <f>+B18*(1-$B$3)</f>
        <v>-1066750.8669503324</v>
      </c>
      <c r="D18" s="84">
        <f>+$B$4*Volatility!$B$6</f>
        <v>187500</v>
      </c>
      <c r="E18" s="85">
        <f>+IF(B18&lt;0,0,B18*$B$5)</f>
        <v>0</v>
      </c>
      <c r="F18" s="86">
        <f>+$B$6+$B$7</f>
        <v>0</v>
      </c>
      <c r="G18" s="72">
        <f>+C18-D18-E18-F18</f>
        <v>-1254250.8669503324</v>
      </c>
    </row>
    <row r="19" spans="2:7" ht="12" customHeight="1" thickTop="1">
      <c r="B19" s="8"/>
      <c r="G19" s="61"/>
    </row>
    <row r="20" spans="2:7" ht="12" customHeight="1">
      <c r="B20" s="8"/>
      <c r="G20" s="61"/>
    </row>
    <row r="21" spans="1:7" ht="12.75">
      <c r="A21" s="1" t="s">
        <v>94</v>
      </c>
      <c r="B21" t="s">
        <v>60</v>
      </c>
      <c r="G21" s="61"/>
    </row>
    <row r="22" spans="1:7" ht="13.5" thickBot="1">
      <c r="A22" s="62">
        <f>+'Result range'!A23</f>
        <v>0.98</v>
      </c>
      <c r="B22" s="8"/>
      <c r="G22" s="61"/>
    </row>
    <row r="23" spans="1:7" ht="13.5" thickTop="1">
      <c r="A23" s="1" t="s">
        <v>86</v>
      </c>
      <c r="B23" s="64">
        <f>+'Result range'!D23</f>
        <v>3041908.0712397355</v>
      </c>
      <c r="C23" s="78">
        <f>+B23*(1-$B$3)</f>
        <v>2737717.264115762</v>
      </c>
      <c r="D23" s="78">
        <f>+$B$4*Volatility!$B$6</f>
        <v>187500</v>
      </c>
      <c r="E23" s="79">
        <f>+IF(B23&lt;0,0,B23*$B$5)</f>
        <v>0</v>
      </c>
      <c r="F23" s="80">
        <f>+$B$6+$B$7</f>
        <v>0</v>
      </c>
      <c r="G23" s="68">
        <f>+C23-D23-E23-F23</f>
        <v>2550217.264115762</v>
      </c>
    </row>
    <row r="24" spans="1:7" ht="13.5" thickBot="1">
      <c r="A24" s="1" t="s">
        <v>87</v>
      </c>
      <c r="B24" s="66">
        <f>+'Result range'!E23</f>
        <v>-2409408.0712397355</v>
      </c>
      <c r="C24" s="84">
        <f>+B24*(1-$B$3)</f>
        <v>-2168467.264115762</v>
      </c>
      <c r="D24" s="84">
        <f>+$B$4*Volatility!$B$6</f>
        <v>187500</v>
      </c>
      <c r="E24" s="85">
        <f>+IF(B24&lt;0,0,B24*$B$5)</f>
        <v>0</v>
      </c>
      <c r="F24" s="86">
        <f>+$B$6+$B$7</f>
        <v>0</v>
      </c>
      <c r="G24" s="72">
        <f>+C24-D24-E24-F24</f>
        <v>-2355967.264115762</v>
      </c>
    </row>
    <row r="25" ht="13.5" thickTop="1"/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5">
      <selection activeCell="C3" sqref="C3"/>
    </sheetView>
  </sheetViews>
  <sheetFormatPr defaultColWidth="9.140625" defaultRowHeight="12.75"/>
  <cols>
    <col min="1" max="1" width="9.7109375" style="0" bestFit="1" customWidth="1"/>
    <col min="3" max="3" width="14.8515625" style="0" bestFit="1" customWidth="1"/>
    <col min="5" max="5" width="17.7109375" style="0" customWidth="1"/>
    <col min="6" max="6" width="13.7109375" style="0" customWidth="1"/>
    <col min="7" max="7" width="12.00390625" style="0" bestFit="1" customWidth="1"/>
    <col min="9" max="9" width="13.7109375" style="0" customWidth="1"/>
  </cols>
  <sheetData>
    <row r="1" ht="15.75">
      <c r="D1" s="54" t="s">
        <v>115</v>
      </c>
    </row>
    <row r="2" ht="12.75">
      <c r="A2" t="s">
        <v>129</v>
      </c>
    </row>
    <row r="3" spans="1:3" ht="12.75">
      <c r="A3" s="93" t="s">
        <v>116</v>
      </c>
      <c r="C3" s="25"/>
    </row>
    <row r="4" spans="1:6" ht="12.75">
      <c r="A4" t="s">
        <v>20</v>
      </c>
      <c r="C4" s="25"/>
      <c r="E4" s="22" t="s">
        <v>10</v>
      </c>
      <c r="F4" s="22" t="s">
        <v>11</v>
      </c>
    </row>
    <row r="5" spans="1:6" ht="12.75">
      <c r="A5" t="s">
        <v>21</v>
      </c>
      <c r="C5" s="25"/>
      <c r="E5" s="23" t="s">
        <v>12</v>
      </c>
      <c r="F5" s="23" t="s">
        <v>13</v>
      </c>
    </row>
    <row r="6" spans="1:6" ht="12.75">
      <c r="A6" t="s">
        <v>22</v>
      </c>
      <c r="B6" s="4" t="s">
        <v>23</v>
      </c>
      <c r="C6" s="25"/>
      <c r="E6" s="23" t="s">
        <v>14</v>
      </c>
      <c r="F6" s="23" t="s">
        <v>15</v>
      </c>
    </row>
    <row r="7" spans="2:6" ht="12.75">
      <c r="B7" s="4" t="s">
        <v>24</v>
      </c>
      <c r="C7" s="25"/>
      <c r="E7" s="23" t="s">
        <v>9</v>
      </c>
      <c r="F7" s="23" t="s">
        <v>16</v>
      </c>
    </row>
    <row r="8" spans="1:9" ht="12.75">
      <c r="A8" t="s">
        <v>117</v>
      </c>
      <c r="C8" s="99" t="str">
        <f>+Volatility!B5</f>
        <v>B</v>
      </c>
      <c r="E8" t="s">
        <v>28</v>
      </c>
      <c r="F8" s="97">
        <f>+VLOOKUP(C8,'Data Standards'!A5:E7,5)</f>
        <v>0.975</v>
      </c>
      <c r="I8" t="s">
        <v>28</v>
      </c>
    </row>
    <row r="9" spans="3:7" ht="12.75">
      <c r="C9" s="22" t="s">
        <v>25</v>
      </c>
      <c r="D9" t="s">
        <v>26</v>
      </c>
      <c r="F9" s="94" t="s">
        <v>27</v>
      </c>
      <c r="G9" t="s">
        <v>26</v>
      </c>
    </row>
    <row r="11" spans="1:3" ht="12.75">
      <c r="A11" t="s">
        <v>29</v>
      </c>
      <c r="C11" s="26">
        <v>0</v>
      </c>
    </row>
    <row r="12" spans="1:3" ht="12.75">
      <c r="A12" t="s">
        <v>30</v>
      </c>
      <c r="C12" s="26">
        <v>0</v>
      </c>
    </row>
    <row r="13" spans="1:3" ht="12.75">
      <c r="A13" t="s">
        <v>118</v>
      </c>
      <c r="C13" s="100">
        <f>+Volatility!B6</f>
        <v>25000000</v>
      </c>
    </row>
    <row r="14" spans="1:3" ht="12.75">
      <c r="A14" t="s">
        <v>31</v>
      </c>
      <c r="C14" s="12" t="e">
        <f>+C13/C11</f>
        <v>#DIV/0!</v>
      </c>
    </row>
    <row r="15" spans="1:3" ht="12.75">
      <c r="A15" t="s">
        <v>32</v>
      </c>
      <c r="C15" s="12" t="e">
        <f>+C13/C12</f>
        <v>#DIV/0!</v>
      </c>
    </row>
    <row r="17" spans="1:9" ht="12.75">
      <c r="A17" t="s">
        <v>33</v>
      </c>
      <c r="C17" s="100">
        <f>+Volatility!B7</f>
        <v>-2500000</v>
      </c>
      <c r="D17" s="15">
        <f>+C17/$C$13</f>
        <v>-0.1</v>
      </c>
      <c r="F17" s="27">
        <f>+C13*VLOOKUP(C8,'Data Standards'!A5:E7,4)</f>
        <v>316250</v>
      </c>
      <c r="G17" s="15">
        <f>+F17/$C$13</f>
        <v>0.01265</v>
      </c>
      <c r="I17" s="28">
        <f>+C17-F17</f>
        <v>-2816250</v>
      </c>
    </row>
    <row r="18" spans="1:9" ht="12.75">
      <c r="A18" t="s">
        <v>95</v>
      </c>
      <c r="C18" s="27">
        <f>+C17*Contribution!B3</f>
        <v>-250000</v>
      </c>
      <c r="D18" s="15">
        <f aca="true" t="shared" si="0" ref="D18:D33">+C18/$C$13</f>
        <v>-0.01</v>
      </c>
      <c r="F18" s="27">
        <f>+F17*Contribution!B3</f>
        <v>31625</v>
      </c>
      <c r="G18" s="15">
        <f aca="true" t="shared" si="1" ref="G18:G33">+F18/$C$13</f>
        <v>0.001265</v>
      </c>
      <c r="I18" s="28">
        <f aca="true" t="shared" si="2" ref="I18:I33">+C18-F18</f>
        <v>-281625</v>
      </c>
    </row>
    <row r="19" spans="1:9" ht="12.75">
      <c r="A19" t="s">
        <v>34</v>
      </c>
      <c r="C19" s="28">
        <f>+C17-C18</f>
        <v>-2250000</v>
      </c>
      <c r="D19" s="15">
        <f t="shared" si="0"/>
        <v>-0.09</v>
      </c>
      <c r="F19" s="28">
        <f>+F17-F18</f>
        <v>284625</v>
      </c>
      <c r="G19" s="15">
        <f t="shared" si="1"/>
        <v>0.011385</v>
      </c>
      <c r="I19" s="28">
        <f t="shared" si="2"/>
        <v>-2534625</v>
      </c>
    </row>
    <row r="20" spans="3:9" ht="12.75">
      <c r="C20" s="28"/>
      <c r="D20" s="15"/>
      <c r="F20" s="28"/>
      <c r="G20" s="15"/>
      <c r="I20" s="28"/>
    </row>
    <row r="21" spans="1:3" ht="12.75">
      <c r="A21" t="s">
        <v>119</v>
      </c>
      <c r="C21" s="101">
        <f>+Contribution!B5</f>
        <v>0</v>
      </c>
    </row>
    <row r="22" spans="1:9" ht="12.75">
      <c r="A22" t="s">
        <v>120</v>
      </c>
      <c r="C22" s="27">
        <f>+IF(C17&gt;0,C21*C17,0)</f>
        <v>0</v>
      </c>
      <c r="D22" s="15">
        <f t="shared" si="0"/>
        <v>0</v>
      </c>
      <c r="F22" s="28">
        <f>+F17*C21/((G17*C41*SQRT(F64*F8*C41))/(((0.5*G17*C41*SQRT(F64*F8*C41))+(0.171*(G17*C41)^2)+0.408*F64*F8*C41)))</f>
        <v>0</v>
      </c>
      <c r="G22" s="15">
        <f t="shared" si="1"/>
        <v>0</v>
      </c>
      <c r="I22" s="28">
        <f t="shared" si="2"/>
        <v>0</v>
      </c>
    </row>
    <row r="23" spans="1:9" ht="12.75">
      <c r="A23" t="s">
        <v>125</v>
      </c>
      <c r="C23" s="27">
        <f>+Contribution!B4*Volatility!B6</f>
        <v>187500</v>
      </c>
      <c r="D23" s="15"/>
      <c r="F23" s="28">
        <f aca="true" t="shared" si="3" ref="F23:F29">+C23</f>
        <v>187500</v>
      </c>
      <c r="G23" s="15"/>
      <c r="I23" s="28"/>
    </row>
    <row r="24" spans="1:9" ht="12.75">
      <c r="A24" t="s">
        <v>35</v>
      </c>
      <c r="C24" s="26">
        <v>0</v>
      </c>
      <c r="D24" s="15">
        <f t="shared" si="0"/>
        <v>0</v>
      </c>
      <c r="F24" s="28">
        <f t="shared" si="3"/>
        <v>0</v>
      </c>
      <c r="G24" s="15">
        <f t="shared" si="1"/>
        <v>0</v>
      </c>
      <c r="I24" s="28">
        <f t="shared" si="2"/>
        <v>0</v>
      </c>
    </row>
    <row r="25" spans="1:9" ht="12.75">
      <c r="A25" t="s">
        <v>36</v>
      </c>
      <c r="C25" s="26">
        <v>0</v>
      </c>
      <c r="D25" s="15">
        <f t="shared" si="0"/>
        <v>0</v>
      </c>
      <c r="F25" s="28">
        <f t="shared" si="3"/>
        <v>0</v>
      </c>
      <c r="G25" s="15">
        <f t="shared" si="1"/>
        <v>0</v>
      </c>
      <c r="I25" s="28">
        <f t="shared" si="2"/>
        <v>0</v>
      </c>
    </row>
    <row r="26" spans="1:9" ht="12.75">
      <c r="A26" t="s">
        <v>37</v>
      </c>
      <c r="C26" s="26">
        <v>0</v>
      </c>
      <c r="D26" s="15">
        <f t="shared" si="0"/>
        <v>0</v>
      </c>
      <c r="F26" s="28">
        <f t="shared" si="3"/>
        <v>0</v>
      </c>
      <c r="G26" s="15">
        <f t="shared" si="1"/>
        <v>0</v>
      </c>
      <c r="I26" s="28">
        <f t="shared" si="2"/>
        <v>0</v>
      </c>
    </row>
    <row r="27" spans="1:9" ht="12.75">
      <c r="A27" t="s">
        <v>121</v>
      </c>
      <c r="C27" s="26">
        <v>0</v>
      </c>
      <c r="D27" s="15">
        <f t="shared" si="0"/>
        <v>0</v>
      </c>
      <c r="F27" s="28">
        <f t="shared" si="3"/>
        <v>0</v>
      </c>
      <c r="G27" s="15">
        <f t="shared" si="1"/>
        <v>0</v>
      </c>
      <c r="I27" s="28">
        <f t="shared" si="2"/>
        <v>0</v>
      </c>
    </row>
    <row r="28" spans="1:9" ht="12.75">
      <c r="A28" t="s">
        <v>122</v>
      </c>
      <c r="C28" s="26">
        <v>0</v>
      </c>
      <c r="D28" s="15">
        <f t="shared" si="0"/>
        <v>0</v>
      </c>
      <c r="F28" s="28">
        <f t="shared" si="3"/>
        <v>0</v>
      </c>
      <c r="G28" s="15">
        <f t="shared" si="1"/>
        <v>0</v>
      </c>
      <c r="I28" s="28">
        <f t="shared" si="2"/>
        <v>0</v>
      </c>
    </row>
    <row r="29" spans="1:9" ht="12.75">
      <c r="A29" t="s">
        <v>123</v>
      </c>
      <c r="C29" s="26">
        <v>0</v>
      </c>
      <c r="D29" s="15">
        <f t="shared" si="0"/>
        <v>0</v>
      </c>
      <c r="F29" s="28">
        <f t="shared" si="3"/>
        <v>0</v>
      </c>
      <c r="G29" s="15">
        <f t="shared" si="1"/>
        <v>0</v>
      </c>
      <c r="I29" s="28"/>
    </row>
    <row r="31" spans="1:9" ht="12.75">
      <c r="A31" t="s">
        <v>38</v>
      </c>
      <c r="C31" s="28">
        <f>SUM(C22:C30)</f>
        <v>187500</v>
      </c>
      <c r="D31" s="15">
        <f t="shared" si="0"/>
        <v>0.0075</v>
      </c>
      <c r="F31" s="28">
        <f>SUM(F22:F30)</f>
        <v>187500</v>
      </c>
      <c r="G31" s="15">
        <f t="shared" si="1"/>
        <v>0.0075</v>
      </c>
      <c r="I31" s="28">
        <f t="shared" si="2"/>
        <v>0</v>
      </c>
    </row>
    <row r="33" spans="1:9" ht="12.75">
      <c r="A33" t="s">
        <v>39</v>
      </c>
      <c r="C33" s="28">
        <f>+C19-C31</f>
        <v>-2437500</v>
      </c>
      <c r="D33" s="15">
        <f t="shared" si="0"/>
        <v>-0.0975</v>
      </c>
      <c r="F33" s="28">
        <f>+F19-F31</f>
        <v>97125</v>
      </c>
      <c r="G33" s="15">
        <f t="shared" si="1"/>
        <v>0.003885</v>
      </c>
      <c r="I33" s="28">
        <f t="shared" si="2"/>
        <v>-2534625</v>
      </c>
    </row>
    <row r="35" spans="1:6" ht="12.75">
      <c r="A35" t="s">
        <v>40</v>
      </c>
      <c r="C35" s="15">
        <f>+C33/C17</f>
        <v>0.975</v>
      </c>
      <c r="F35" s="15">
        <f>+F33/F17</f>
        <v>0.30711462450592886</v>
      </c>
    </row>
    <row r="37" ht="12.75">
      <c r="A37" t="s">
        <v>41</v>
      </c>
    </row>
    <row r="38" ht="12.75">
      <c r="A38" t="s">
        <v>42</v>
      </c>
    </row>
    <row r="39" spans="1:3" ht="12.75">
      <c r="A39" t="s">
        <v>43</v>
      </c>
      <c r="C39" s="27">
        <f>+C13</f>
        <v>25000000</v>
      </c>
    </row>
    <row r="40" spans="1:3" ht="12.75">
      <c r="A40" t="s">
        <v>44</v>
      </c>
      <c r="C40" s="27">
        <f>+C64</f>
        <v>14600</v>
      </c>
    </row>
    <row r="41" spans="1:3" ht="12.75">
      <c r="A41" t="s">
        <v>45</v>
      </c>
      <c r="C41" s="30">
        <f>+C39/C40</f>
        <v>1712.3287671232877</v>
      </c>
    </row>
    <row r="42" spans="1:4" ht="12.75">
      <c r="A42" t="s">
        <v>28</v>
      </c>
      <c r="C42" s="30">
        <f>+SQRT(C41*F8*F64)</f>
        <v>80.24998678973125</v>
      </c>
      <c r="D42" t="s">
        <v>46</v>
      </c>
    </row>
    <row r="43" spans="1:3" ht="12.75">
      <c r="A43" t="s">
        <v>47</v>
      </c>
      <c r="C43" s="30">
        <f>+C41*G17</f>
        <v>21.660958904109588</v>
      </c>
    </row>
    <row r="44" spans="1:7" ht="12.75">
      <c r="A44" t="s">
        <v>48</v>
      </c>
      <c r="E44" t="s">
        <v>49</v>
      </c>
      <c r="G44" s="40" t="s">
        <v>50</v>
      </c>
    </row>
    <row r="45" spans="1:8" ht="12.75">
      <c r="A45" t="s">
        <v>51</v>
      </c>
      <c r="C45" s="31">
        <f>+C43+(1.645*C42)</f>
        <v>153.67218717321748</v>
      </c>
      <c r="E45" s="27">
        <f aca="true" t="shared" si="4" ref="E45:E50">+C45*$C$40</f>
        <v>2243613.932728975</v>
      </c>
      <c r="G45" s="40" t="s">
        <v>52</v>
      </c>
      <c r="H45" t="s">
        <v>53</v>
      </c>
    </row>
    <row r="46" spans="1:8" ht="12.75">
      <c r="A46" t="s">
        <v>54</v>
      </c>
      <c r="C46" s="31">
        <f>+C43-(1.645*C42)</f>
        <v>-110.35026936499831</v>
      </c>
      <c r="E46" s="27">
        <f t="shared" si="4"/>
        <v>-1611113.9327289753</v>
      </c>
      <c r="G46" s="40" t="s">
        <v>52</v>
      </c>
      <c r="H46" t="s">
        <v>53</v>
      </c>
    </row>
    <row r="47" spans="1:8" ht="12.75">
      <c r="A47" t="s">
        <v>55</v>
      </c>
      <c r="C47" s="31">
        <f>+C43+(1.96*C42)</f>
        <v>178.95093301198284</v>
      </c>
      <c r="E47" s="27">
        <f t="shared" si="4"/>
        <v>2612683.6219749493</v>
      </c>
      <c r="G47" s="40" t="s">
        <v>56</v>
      </c>
      <c r="H47" t="s">
        <v>57</v>
      </c>
    </row>
    <row r="48" spans="1:8" ht="12.75">
      <c r="A48" t="s">
        <v>58</v>
      </c>
      <c r="C48" s="31">
        <f>+C43-(1.96*C42)</f>
        <v>-135.6290152037637</v>
      </c>
      <c r="E48" s="27">
        <f t="shared" si="4"/>
        <v>-1980183.6219749497</v>
      </c>
      <c r="G48" s="40" t="s">
        <v>56</v>
      </c>
      <c r="H48" t="s">
        <v>57</v>
      </c>
    </row>
    <row r="49" spans="1:8" ht="12.75">
      <c r="A49" t="s">
        <v>59</v>
      </c>
      <c r="C49" s="31">
        <f>+C43+(2.33*C42)</f>
        <v>208.6434281241834</v>
      </c>
      <c r="E49" s="27">
        <f t="shared" si="4"/>
        <v>3046194.050613078</v>
      </c>
      <c r="G49" s="40" t="s">
        <v>60</v>
      </c>
      <c r="H49" t="s">
        <v>61</v>
      </c>
    </row>
    <row r="50" spans="1:8" ht="12.75">
      <c r="A50" t="s">
        <v>62</v>
      </c>
      <c r="C50" s="31">
        <f>+C43-(2.33*C42)</f>
        <v>-165.32151031596425</v>
      </c>
      <c r="E50" s="27">
        <f t="shared" si="4"/>
        <v>-2413694.050613078</v>
      </c>
      <c r="G50" s="40" t="s">
        <v>60</v>
      </c>
      <c r="H50" t="s">
        <v>61</v>
      </c>
    </row>
    <row r="51" spans="1:7" ht="12.75">
      <c r="A51" t="s">
        <v>63</v>
      </c>
      <c r="F51" s="4" t="s">
        <v>64</v>
      </c>
      <c r="G51" s="98">
        <f>IF(I54&gt;0,1/I56,1/I57)</f>
        <v>123.21518694068888</v>
      </c>
    </row>
    <row r="52" ht="12.75">
      <c r="A52" t="s">
        <v>124</v>
      </c>
    </row>
    <row r="53" spans="2:9" ht="12.75">
      <c r="B53" t="s">
        <v>65</v>
      </c>
      <c r="C53" t="s">
        <v>3</v>
      </c>
      <c r="F53" t="s">
        <v>66</v>
      </c>
      <c r="I53" t="s">
        <v>67</v>
      </c>
    </row>
    <row r="54" spans="1:9" ht="12.75">
      <c r="A54" s="100">
        <f>+Volatility!A11</f>
        <v>300000</v>
      </c>
      <c r="B54" s="101">
        <f>+Volatility!B11</f>
        <v>0</v>
      </c>
      <c r="C54" s="27">
        <f>+B54*A54</f>
        <v>0</v>
      </c>
      <c r="E54" s="12">
        <f>+A54/$C$64</f>
        <v>20.54794520547945</v>
      </c>
      <c r="F54" s="12">
        <f>+E54^2*B54</f>
        <v>0</v>
      </c>
      <c r="I54" s="9">
        <f>+(C17-F17)/C64/C42</f>
        <v>-2.403661898684835</v>
      </c>
    </row>
    <row r="55" spans="1:9" ht="12.75">
      <c r="A55" s="100">
        <f>+Volatility!A12</f>
        <v>200000</v>
      </c>
      <c r="B55" s="101">
        <f>+Volatility!B12</f>
        <v>0.005</v>
      </c>
      <c r="C55" s="27">
        <f aca="true" t="shared" si="5" ref="C55:C62">+B55*A55</f>
        <v>1000</v>
      </c>
      <c r="E55" s="12">
        <f aca="true" t="shared" si="6" ref="E55:E62">+A55/$C$64</f>
        <v>13.698630136986301</v>
      </c>
      <c r="F55" s="12">
        <f aca="true" t="shared" si="7" ref="F55:F62">+E55^2*B55</f>
        <v>0.9382623381497466</v>
      </c>
      <c r="I55" t="s">
        <v>68</v>
      </c>
    </row>
    <row r="56" spans="1:9" ht="12.75">
      <c r="A56" s="100">
        <f>+Volatility!A13</f>
        <v>150000</v>
      </c>
      <c r="B56" s="101">
        <f>+Volatility!B13</f>
        <v>0.005</v>
      </c>
      <c r="C56" s="27">
        <f t="shared" si="5"/>
        <v>750</v>
      </c>
      <c r="E56" s="12">
        <f t="shared" si="6"/>
        <v>10.273972602739725</v>
      </c>
      <c r="F56" s="12">
        <f t="shared" si="7"/>
        <v>0.5277725652092324</v>
      </c>
      <c r="I56" s="95">
        <f>+NORMSDIST(ABS(I54))</f>
        <v>0.9918841173330252</v>
      </c>
    </row>
    <row r="57" spans="1:9" ht="12.75">
      <c r="A57" s="100">
        <f>+Volatility!A14</f>
        <v>100000</v>
      </c>
      <c r="B57" s="101">
        <f>+Volatility!B14</f>
        <v>0.01</v>
      </c>
      <c r="C57" s="27">
        <f t="shared" si="5"/>
        <v>1000</v>
      </c>
      <c r="E57" s="12">
        <f t="shared" si="6"/>
        <v>6.8493150684931505</v>
      </c>
      <c r="F57" s="12">
        <f t="shared" si="7"/>
        <v>0.4691311690748733</v>
      </c>
      <c r="I57" s="88">
        <f>1-I56</f>
        <v>0.008115882666974827</v>
      </c>
    </row>
    <row r="58" spans="1:6" ht="12.75">
      <c r="A58" s="100">
        <f>+Volatility!A15</f>
        <v>75000</v>
      </c>
      <c r="B58" s="101">
        <f>+Volatility!B15</f>
        <v>0.04</v>
      </c>
      <c r="C58" s="27">
        <f t="shared" si="5"/>
        <v>3000</v>
      </c>
      <c r="E58" s="12">
        <f t="shared" si="6"/>
        <v>5.136986301369863</v>
      </c>
      <c r="F58" s="12">
        <f t="shared" si="7"/>
        <v>1.0555451304184649</v>
      </c>
    </row>
    <row r="59" spans="1:6" ht="12.75">
      <c r="A59" s="100">
        <f>+Volatility!A16</f>
        <v>50000</v>
      </c>
      <c r="B59" s="101">
        <f>+Volatility!B16</f>
        <v>0.04</v>
      </c>
      <c r="C59" s="27">
        <f t="shared" si="5"/>
        <v>2000</v>
      </c>
      <c r="E59" s="12">
        <f t="shared" si="6"/>
        <v>3.4246575342465753</v>
      </c>
      <c r="F59" s="12">
        <f t="shared" si="7"/>
        <v>0.4691311690748733</v>
      </c>
    </row>
    <row r="60" spans="1:6" ht="12.75">
      <c r="A60" s="100">
        <f>+Volatility!A17</f>
        <v>25000</v>
      </c>
      <c r="B60" s="101">
        <f>+Volatility!B17</f>
        <v>0.09</v>
      </c>
      <c r="C60" s="27">
        <f t="shared" si="5"/>
        <v>2250</v>
      </c>
      <c r="E60" s="12">
        <f t="shared" si="6"/>
        <v>1.7123287671232876</v>
      </c>
      <c r="F60" s="12">
        <f t="shared" si="7"/>
        <v>0.2638862826046162</v>
      </c>
    </row>
    <row r="61" spans="1:6" ht="12.75">
      <c r="A61" s="100">
        <f>+Volatility!A18</f>
        <v>10000</v>
      </c>
      <c r="B61" s="101">
        <f>+Volatility!B18</f>
        <v>0.11</v>
      </c>
      <c r="C61" s="27">
        <f t="shared" si="5"/>
        <v>1100</v>
      </c>
      <c r="E61" s="12">
        <f t="shared" si="6"/>
        <v>0.684931506849315</v>
      </c>
      <c r="F61" s="12">
        <f t="shared" si="7"/>
        <v>0.05160442859823606</v>
      </c>
    </row>
    <row r="62" spans="1:6" ht="12.75">
      <c r="A62" s="100">
        <f>+Volatility!A19</f>
        <v>5000</v>
      </c>
      <c r="B62" s="101">
        <f>+Volatility!B19</f>
        <v>0.7</v>
      </c>
      <c r="C62" s="27">
        <f t="shared" si="5"/>
        <v>3500</v>
      </c>
      <c r="E62" s="12">
        <f t="shared" si="6"/>
        <v>0.3424657534246575</v>
      </c>
      <c r="F62" s="12">
        <f t="shared" si="7"/>
        <v>0.08209795458810282</v>
      </c>
    </row>
    <row r="63" spans="2:6" ht="12.75">
      <c r="B63" s="10"/>
      <c r="E63" s="12"/>
      <c r="F63" s="12"/>
    </row>
    <row r="64" spans="2:6" ht="12.75">
      <c r="B64" s="15">
        <f>SUM(B54:B63)</f>
        <v>1</v>
      </c>
      <c r="C64" s="27">
        <f>SUM(C54:C63)</f>
        <v>14600</v>
      </c>
      <c r="E64" s="12"/>
      <c r="F64" s="9">
        <f>SUM(F54:F63)</f>
        <v>3.857431037718146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2" sqref="C12"/>
    </sheetView>
  </sheetViews>
  <sheetFormatPr defaultColWidth="9.140625" defaultRowHeight="12.75"/>
  <cols>
    <col min="1" max="1" width="11.8515625" style="0" bestFit="1" customWidth="1"/>
    <col min="4" max="4" width="9.7109375" style="0" bestFit="1" customWidth="1"/>
  </cols>
  <sheetData>
    <row r="1" ht="15.75">
      <c r="D1" s="54" t="s">
        <v>69</v>
      </c>
    </row>
    <row r="2" ht="12.75">
      <c r="A2" t="s">
        <v>111</v>
      </c>
    </row>
    <row r="4" spans="1:5" ht="12.75">
      <c r="A4" s="39" t="s">
        <v>10</v>
      </c>
      <c r="B4" s="39" t="s">
        <v>11</v>
      </c>
      <c r="C4" s="40"/>
      <c r="D4" s="39" t="s">
        <v>70</v>
      </c>
      <c r="E4" s="39" t="s">
        <v>28</v>
      </c>
    </row>
    <row r="5" spans="1:5" ht="12.75">
      <c r="A5" s="42" t="s">
        <v>9</v>
      </c>
      <c r="B5" s="23" t="s">
        <v>16</v>
      </c>
      <c r="D5" s="43">
        <v>0.01265</v>
      </c>
      <c r="E5" s="44">
        <v>0.975</v>
      </c>
    </row>
    <row r="6" spans="1:5" ht="12.75">
      <c r="A6" s="42" t="s">
        <v>14</v>
      </c>
      <c r="B6" s="23" t="s">
        <v>15</v>
      </c>
      <c r="D6" s="43">
        <v>0.0104</v>
      </c>
      <c r="E6" s="44">
        <v>1.26</v>
      </c>
    </row>
    <row r="7" spans="1:5" ht="12.75">
      <c r="A7" s="42" t="s">
        <v>12</v>
      </c>
      <c r="B7" s="23" t="s">
        <v>13</v>
      </c>
      <c r="D7" s="43">
        <v>0.02702702702702703</v>
      </c>
      <c r="E7" s="52">
        <v>1</v>
      </c>
    </row>
    <row r="9" ht="12.75">
      <c r="A9" t="s">
        <v>104</v>
      </c>
    </row>
    <row r="10" ht="12.75">
      <c r="A10" s="1" t="s">
        <v>80</v>
      </c>
    </row>
    <row r="11" spans="1:2" ht="12.75">
      <c r="A11" s="23" t="s">
        <v>71</v>
      </c>
      <c r="B11" s="35" t="s">
        <v>28</v>
      </c>
    </row>
    <row r="12" spans="1:2" ht="12.75">
      <c r="A12" s="32" t="s">
        <v>72</v>
      </c>
      <c r="B12" s="33">
        <f>(35^2*1/37)+(-1^2*36/37)</f>
        <v>34.08108108108108</v>
      </c>
    </row>
    <row r="13" spans="1:2" ht="12.75">
      <c r="A13" t="s">
        <v>73</v>
      </c>
      <c r="B13" s="34">
        <f>(17^2*2/37)+(-1^2*35/37)</f>
        <v>16.56756756756757</v>
      </c>
    </row>
    <row r="14" spans="1:2" ht="12.75">
      <c r="A14" t="s">
        <v>74</v>
      </c>
      <c r="B14" s="34">
        <f>(8^2*4/37)+(-1^2*33/37)</f>
        <v>7.810810810810811</v>
      </c>
    </row>
    <row r="15" spans="1:2" ht="12.75">
      <c r="A15" t="s">
        <v>75</v>
      </c>
      <c r="B15" s="34">
        <f>(11^2*3/37)+(-1^2*34/37)</f>
        <v>10.72972972972973</v>
      </c>
    </row>
    <row r="16" spans="1:2" ht="12.75">
      <c r="A16" t="s">
        <v>76</v>
      </c>
      <c r="B16" s="34">
        <f>(5^2*6/37)+(-1^2*31/37)</f>
        <v>4.891891891891892</v>
      </c>
    </row>
    <row r="17" spans="1:2" ht="12.75">
      <c r="A17" t="s">
        <v>77</v>
      </c>
      <c r="B17" s="34">
        <f>(2^2*12/37)+(-1^2*25/37)</f>
        <v>1.972972972972973</v>
      </c>
    </row>
    <row r="18" spans="1:2" ht="12.75">
      <c r="A18" t="s">
        <v>78</v>
      </c>
      <c r="B18" s="34">
        <f>(2^2*12/37)+(-1^2*25/37)</f>
        <v>1.972972972972973</v>
      </c>
    </row>
    <row r="19" spans="1:2" ht="12.75">
      <c r="A19" t="s">
        <v>79</v>
      </c>
      <c r="B19" s="34">
        <f>(1^2*18/37)+(-1^2*19/37)</f>
        <v>1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Martin</dc:creator>
  <cp:keywords/>
  <dc:description/>
  <cp:lastModifiedBy>Jim Kilby</cp:lastModifiedBy>
  <dcterms:created xsi:type="dcterms:W3CDTF">1998-11-05T04:59:53Z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